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9210" activeTab="0"/>
  </bookViews>
  <sheets>
    <sheet name="Instructions" sheetId="1" r:id="rId1"/>
    <sheet name="Budget &amp; Rate Methodology" sheetId="2" r:id="rId2"/>
    <sheet name="Replacement Schedule" sheetId="3" r:id="rId3"/>
    <sheet name="Annual Replacement Annuity" sheetId="4" r:id="rId4"/>
  </sheets>
  <definedNames>
    <definedName name="_xlnm.Print_Area" localSheetId="3">'Annual Replacement Annuity'!$A$5:$L$47</definedName>
    <definedName name="_xlnm.Print_Area" localSheetId="1">'Budget &amp; Rate Methodology'!$A$1:$G$294</definedName>
    <definedName name="_xlnm.Print_Area" localSheetId="0">'Instructions'!$B$1:$B$43</definedName>
    <definedName name="_xlnm.Print_Area" localSheetId="2">'Replacement Schedule'!$B$1:$E$53</definedName>
    <definedName name="Z_0EE8D824_D634_4E87_A499_EBB54D1B135E_.wvu.PrintArea" localSheetId="3" hidden="1">'Annual Replacement Annuity'!$A$5:$L$47</definedName>
    <definedName name="Z_0EE8D824_D634_4E87_A499_EBB54D1B135E_.wvu.PrintArea" localSheetId="1" hidden="1">'Budget &amp; Rate Methodology'!$A$1:$G$294</definedName>
    <definedName name="Z_0EE8D824_D634_4E87_A499_EBB54D1B135E_.wvu.PrintArea" localSheetId="0" hidden="1">'Instructions'!$B$1:$B$43</definedName>
    <definedName name="Z_0EE8D824_D634_4E87_A499_EBB54D1B135E_.wvu.PrintArea" localSheetId="2" hidden="1">'Replacement Schedule'!$B$1:$E$53</definedName>
    <definedName name="Z_32097E98_98B5_4CF8_ADCF_F8A428E69FE0_.wvu.PrintArea" localSheetId="3" hidden="1">'Annual Replacement Annuity'!$A$5:$L$47</definedName>
    <definedName name="Z_32097E98_98B5_4CF8_ADCF_F8A428E69FE0_.wvu.PrintArea" localSheetId="1" hidden="1">'Budget &amp; Rate Methodology'!$A$1:$G$294</definedName>
    <definedName name="Z_32097E98_98B5_4CF8_ADCF_F8A428E69FE0_.wvu.PrintArea" localSheetId="0" hidden="1">'Instructions'!$B$1:$B$43</definedName>
    <definedName name="Z_32097E98_98B5_4CF8_ADCF_F8A428E69FE0_.wvu.PrintArea" localSheetId="2" hidden="1">'Replacement Schedule'!$B$1:$E$53</definedName>
    <definedName name="Z_45D17F92_40EB_441A_BCB4_FFA17012374D_.wvu.PrintArea" localSheetId="3" hidden="1">'Annual Replacement Annuity'!$A$5:$L$47</definedName>
    <definedName name="Z_45D17F92_40EB_441A_BCB4_FFA17012374D_.wvu.PrintArea" localSheetId="1" hidden="1">'Budget &amp; Rate Methodology'!$A$1:$G$294</definedName>
    <definedName name="Z_45D17F92_40EB_441A_BCB4_FFA17012374D_.wvu.PrintArea" localSheetId="0" hidden="1">'Instructions'!$B$1:$B$43</definedName>
    <definedName name="Z_45D17F92_40EB_441A_BCB4_FFA17012374D_.wvu.PrintArea" localSheetId="2" hidden="1">'Replacement Schedule'!$B$1:$E$53</definedName>
    <definedName name="Z_4D78CAB5_9DF3_4F84_9793_E8B44B46F7DA_.wvu.PrintArea" localSheetId="3" hidden="1">'Annual Replacement Annuity'!$A$5:$L$47</definedName>
    <definedName name="Z_4D78CAB5_9DF3_4F84_9793_E8B44B46F7DA_.wvu.PrintArea" localSheetId="1" hidden="1">'Budget &amp; Rate Methodology'!$A$1:$G$294</definedName>
    <definedName name="Z_4D78CAB5_9DF3_4F84_9793_E8B44B46F7DA_.wvu.PrintArea" localSheetId="0" hidden="1">'Instructions'!$B$1:$B$43</definedName>
    <definedName name="Z_4D78CAB5_9DF3_4F84_9793_E8B44B46F7DA_.wvu.PrintArea" localSheetId="2" hidden="1">'Replacement Schedule'!$B$1:$E$53</definedName>
  </definedNames>
  <calcPr fullCalcOnLoad="1"/>
</workbook>
</file>

<file path=xl/sharedStrings.xml><?xml version="1.0" encoding="utf-8"?>
<sst xmlns="http://schemas.openxmlformats.org/spreadsheetml/2006/main" count="310" uniqueCount="190">
  <si>
    <t>Item</t>
  </si>
  <si>
    <t>Billing and Collection</t>
  </si>
  <si>
    <t>Administration</t>
  </si>
  <si>
    <t>Power</t>
  </si>
  <si>
    <t>Labor (including fringe benefits)</t>
  </si>
  <si>
    <t>Replacement Costs (see Appendix B)</t>
  </si>
  <si>
    <t>Chemicals</t>
  </si>
  <si>
    <t>Expense</t>
  </si>
  <si>
    <t>Annual</t>
  </si>
  <si>
    <t>Dedicated Capital Improvement Sales Tax Revenue</t>
  </si>
  <si>
    <t>Other Revenue (specify)</t>
  </si>
  <si>
    <t>Total Revenues from Other Sources:</t>
  </si>
  <si>
    <t>Total Expenses:</t>
  </si>
  <si>
    <t>Total Expenses to be Derived From User Charges:</t>
  </si>
  <si>
    <t>=</t>
  </si>
  <si>
    <t>X</t>
  </si>
  <si>
    <t>-</t>
  </si>
  <si>
    <t>Annual Dollars to Treat Annual Other =</t>
  </si>
  <si>
    <t>Annual Dollars to Treat Annual BOD  =</t>
  </si>
  <si>
    <t>Annual Dollars to Treat Annual SS    =</t>
  </si>
  <si>
    <t>Annual Dollars to Treat Annual Flow  =</t>
  </si>
  <si>
    <t>Inflow/Infiltration Reduction Program</t>
  </si>
  <si>
    <t>3. Loadings</t>
  </si>
  <si>
    <t>The initial hydraulic loading (less I/I) is estimated to be:</t>
  </si>
  <si>
    <t>The number of system users is:</t>
  </si>
  <si>
    <t>Customers</t>
  </si>
  <si>
    <t>Gallons/year</t>
  </si>
  <si>
    <t>Pounds/year</t>
  </si>
  <si>
    <t>The initial BOD loading is estimated to be:</t>
  </si>
  <si>
    <t>The initial SS loading is estimated to be:</t>
  </si>
  <si>
    <t>Normal Domestic BOD based on above loadings:</t>
  </si>
  <si>
    <t>Normal Domestic SS based on above loadings:</t>
  </si>
  <si>
    <t>Normal Domestic Other Pollutant based on above loadings:</t>
  </si>
  <si>
    <t>Initial unit cost for flow in $/gallon</t>
  </si>
  <si>
    <t>4. Unit Costs:</t>
  </si>
  <si>
    <t>Initial unit cost for BOD in $/pound</t>
  </si>
  <si>
    <t>Initial unit cost for SS in $/pound</t>
  </si>
  <si>
    <t>Annual $ to treat annual flow</t>
  </si>
  <si>
    <t>Estimated annual hydraulic loading - inflow &amp; Infiltration</t>
  </si>
  <si>
    <t>per gallon</t>
  </si>
  <si>
    <t>Annual $ to treat annual BOD</t>
  </si>
  <si>
    <t>Estimated annual BOD loading</t>
  </si>
  <si>
    <t>per pound</t>
  </si>
  <si>
    <t>Annual $ to treat annual SS</t>
  </si>
  <si>
    <t>Estimated annual SS loading</t>
  </si>
  <si>
    <t>(Note:  The unit costs for BOD, SS, and Other Pollutants are to be inserted in Article IV, Section 4 of the ordinance.)</t>
  </si>
  <si>
    <t>5. Minimum Charge:</t>
  </si>
  <si>
    <t>Number of users:</t>
  </si>
  <si>
    <t>Billing Period:</t>
  </si>
  <si>
    <t>Annual Debt Service</t>
  </si>
  <si>
    <t>Total Annual Minimum Cost</t>
  </si>
  <si>
    <t>Minimum Charge</t>
  </si>
  <si>
    <t>Total Annual Minimum Cost/Billing Period/Number of Users</t>
  </si>
  <si>
    <t>(Note:  The Annual Debt Service collected through the minimum charge is the Total Annual Debt Service less any other revenues dedicated to debt retirement as indicated in the budget.)</t>
  </si>
  <si>
    <t>Total Annual Debt Service</t>
  </si>
  <si>
    <t>(Note:  The minimum charge, per user, per billing period is to be inserted in Article IV, Section 3 of the ordinance.)</t>
  </si>
  <si>
    <t>Residential Unit Charge</t>
  </si>
  <si>
    <t>Where:</t>
  </si>
  <si>
    <t>Residential unit charge is in $/1,000 gallons;</t>
  </si>
  <si>
    <t>Unit SS charge is in $/pound of SS from paragraph 4;</t>
  </si>
  <si>
    <t>Unit BOD charge is in $/pound of BOD from paragraph 4;</t>
  </si>
  <si>
    <t>.00834 is a unit conversion factor.</t>
  </si>
  <si>
    <t>(Note: The total residential unit charge is to be inserted in Article IV, Section 3, of the ordinance.)</t>
  </si>
  <si>
    <t>7. Extra Strength Users:</t>
  </si>
  <si>
    <t>For users who contribute wastewater that has a greater strength than Normal Domestic wastewater, the user charge will be calculated as follows:</t>
  </si>
  <si>
    <t>Total Monthly Charge for Extra Strength User</t>
  </si>
  <si>
    <t>Total monthly charge to extra strength user is in dollars;</t>
  </si>
  <si>
    <t>Minimum charge is in dollars as calculated in paragraph 5;</t>
  </si>
  <si>
    <t>Residential unit charge is in $/1000 gallons as calculated in paragraph 6</t>
  </si>
  <si>
    <t>An example user charge calculation for an extra strength user follows:</t>
  </si>
  <si>
    <t>Assumed flow</t>
  </si>
  <si>
    <t>gallons</t>
  </si>
  <si>
    <t>mg/l</t>
  </si>
  <si>
    <t>Monthly Charge</t>
  </si>
  <si>
    <t>An example calculation of a monthly residential charge is as follows:</t>
  </si>
  <si>
    <t>Are rates sufficient?</t>
  </si>
  <si>
    <t>Annual revenues generated from Minimum Charge</t>
  </si>
  <si>
    <t>Minimum Charge per billing period x Number of Billing Periods x Number of Customers</t>
  </si>
  <si>
    <t>Annual revenues generated from Residential Unit Charge</t>
  </si>
  <si>
    <t>Residential Unit Charge x Total Annual Flow in 1000 gallons</t>
  </si>
  <si>
    <t>Total Annual Revenues</t>
  </si>
  <si>
    <t>Annual revenues generated from Minimum Charge + Annual revenues generated from Residential Unit Charge</t>
  </si>
  <si>
    <t>Budget Surplus/(Deficit)</t>
  </si>
  <si>
    <t>This appendix presents the methodology to be used in calculating user charge rates and surcharges, illustrates the calculations followed in arriving at the first year's user charges and surcharges.  The unit costs established in this appendix are based on estimates of expenses, including those associated with transporting and treating inflow and infiltration, and loadings.  The actual expenses and loadings that occur may differ from these estimates and certainly they will change as time passes. Therefore, the unit cost must be reestablished whenever necessary to reflect actual expenses and loadings.  Once the system is in use, the expenses and loadings can be determined from operating records and the unit costs can be adjusted based on these figures.</t>
  </si>
  <si>
    <t>(Note:  In this example, the billing, collection, administration, and debt expenses are deducted from the total O&amp;M budget at this point because each user will pay the same for these expenses per billing period.  See paragraph 5 for Minimum Charge calculation.  In some situations other appropriate expenses may be handled in the same manner.  Costs associated with debt can be collected as part of the unit/volume charge or as a combination of the Minimum Charge and Unit Charge. The ordinance writer should adjust the allocation of percentages to Flow, BOD, and SS to fit their specific type of treatment works.</t>
  </si>
  <si>
    <t>(Note:  If the loading estimates for BOD, SS, and Other Pollutant(s), are based on historical data from the Treatment Works and the concentration is different from the definition of Normal Domestic Wastewater, please see note in paragraph 6 before completing the Residential Unit Charge Calculation.)</t>
  </si>
  <si>
    <t>v is the volume of wastewater in 1000 gallons discharged by the extra strength user during the month;</t>
  </si>
  <si>
    <t>Unit BOD charge is in $/pound BOD from paragraph 4;</t>
  </si>
  <si>
    <t>Unit SS charge is in $/pound SS from paragraph 4;</t>
  </si>
  <si>
    <t>Total Annual Revenues - Total Expenses to be Derived From User Charges</t>
  </si>
  <si>
    <t>NOTE:  A separate sheet showing what items are to be replaced,</t>
  </si>
  <si>
    <t>what year, and estimated replacement cost, should also be attached.</t>
  </si>
  <si>
    <t>Inflation</t>
  </si>
  <si>
    <t>Interest</t>
  </si>
  <si>
    <t>Initial Balance</t>
  </si>
  <si>
    <t>Estimated</t>
  </si>
  <si>
    <t>Compound</t>
  </si>
  <si>
    <t>Present</t>
  </si>
  <si>
    <t>Adjusted</t>
  </si>
  <si>
    <t>Interest on</t>
  </si>
  <si>
    <t>Net</t>
  </si>
  <si>
    <t>Replacement</t>
  </si>
  <si>
    <t>Amount</t>
  </si>
  <si>
    <t>Future</t>
  </si>
  <si>
    <t>Worth</t>
  </si>
  <si>
    <t>Fund</t>
  </si>
  <si>
    <t>Year</t>
  </si>
  <si>
    <t>Costs</t>
  </si>
  <si>
    <t>Factor (F/P)</t>
  </si>
  <si>
    <t>Factor (P/F)</t>
  </si>
  <si>
    <t>Balance</t>
  </si>
  <si>
    <t xml:space="preserve"> </t>
  </si>
  <si>
    <t>Capital Recovery Factor</t>
  </si>
  <si>
    <t>Annual Annuity</t>
  </si>
  <si>
    <t>You will need to enter the expected inflation rate and interest rate, as well as the estimated replacement costs.</t>
  </si>
  <si>
    <t>Years From Treatment  Works In Operation</t>
  </si>
  <si>
    <t>Replacement Item</t>
  </si>
  <si>
    <t>Cost Per Item</t>
  </si>
  <si>
    <t>Yearly Total</t>
  </si>
  <si>
    <t>This appendix contains a replacement schedule that was developed to determine the amount of revenue needed to fund the Replacement Account.  The replacement schedule lists the major equipment in the wastewater system, the estimated dates when the equipment will have to be replaced, and the estimated cost of replacement (based on today's cost) over the useful life of the wastewater system.  The replacement dates and costs shown are estimates; the actual replacement dates and costs could be significantly different from those shown.  If the actual replacement expenses differ significantly from those listed in the replacement schedule, the funding of the Replacement Account shall be adjusted accordingly.  The Replacement Fund Calculation includes factors for inflation and interest.  These should be adjusted to reflect actual interest and inflation rates.</t>
  </si>
  <si>
    <r>
      <t>1. Expenses</t>
    </r>
    <r>
      <rPr>
        <sz val="10"/>
        <rFont val="Arial"/>
        <family val="2"/>
      </rPr>
      <t>:  The total annual expenses associated with the treatment works, as defined in Article II, Section 8, are estimated as follows:</t>
    </r>
  </si>
  <si>
    <r>
      <t xml:space="preserve">Revenues Received from Other </t>
    </r>
    <r>
      <rPr>
        <b/>
        <u val="single"/>
        <sz val="10"/>
        <rFont val="Arial"/>
        <family val="2"/>
      </rPr>
      <t>Sources</t>
    </r>
  </si>
  <si>
    <r>
      <t>2. Allocation of Expenses:</t>
    </r>
    <r>
      <rPr>
        <sz val="10"/>
        <rFont val="Arial"/>
        <family val="0"/>
      </rPr>
      <t xml:space="preserve">  The total operation and maintenance, including replacement expenses, is allocated to the appropriate pollutants in the following manner.</t>
    </r>
  </si>
  <si>
    <r>
      <t xml:space="preserve">The initial </t>
    </r>
    <r>
      <rPr>
        <i/>
        <sz val="10"/>
        <rFont val="Arial"/>
        <family val="2"/>
      </rPr>
      <t>Other Pollutant (specify)</t>
    </r>
    <r>
      <rPr>
        <sz val="10"/>
        <rFont val="Arial"/>
        <family val="0"/>
      </rPr>
      <t xml:space="preserve"> loading is estimated to be:</t>
    </r>
  </si>
  <si>
    <r>
      <t xml:space="preserve">Initial unit cost for </t>
    </r>
    <r>
      <rPr>
        <i/>
        <sz val="10"/>
        <rFont val="Arial"/>
        <family val="2"/>
      </rPr>
      <t>Other Pollutant(s)</t>
    </r>
    <r>
      <rPr>
        <sz val="10"/>
        <rFont val="Arial"/>
        <family val="0"/>
      </rPr>
      <t xml:space="preserve"> in $/pound</t>
    </r>
  </si>
  <si>
    <r>
      <t xml:space="preserve">Annual $ to treat annual </t>
    </r>
    <r>
      <rPr>
        <i/>
        <u val="single"/>
        <sz val="10"/>
        <rFont val="Arial"/>
        <family val="2"/>
      </rPr>
      <t>Other Pollutant(s)</t>
    </r>
  </si>
  <si>
    <r>
      <t xml:space="preserve">Estimated annual </t>
    </r>
    <r>
      <rPr>
        <i/>
        <sz val="10"/>
        <rFont val="Arial"/>
        <family val="2"/>
      </rPr>
      <t xml:space="preserve">Other Pollutant(s) </t>
    </r>
    <r>
      <rPr>
        <sz val="10"/>
        <rFont val="Arial"/>
        <family val="2"/>
      </rPr>
      <t>loading</t>
    </r>
  </si>
  <si>
    <r>
      <t>unit flow charge + [(unit BOD charge) x (BOD</t>
    </r>
    <r>
      <rPr>
        <vertAlign val="subscript"/>
        <sz val="10"/>
        <rFont val="Arial"/>
        <family val="2"/>
      </rPr>
      <t>ND</t>
    </r>
    <r>
      <rPr>
        <sz val="10"/>
        <rFont val="Arial"/>
        <family val="0"/>
      </rPr>
      <t>) x (.00834)] + [(unit SS charge) x (SS</t>
    </r>
    <r>
      <rPr>
        <vertAlign val="subscript"/>
        <sz val="10"/>
        <rFont val="Arial"/>
        <family val="2"/>
      </rPr>
      <t>ND</t>
    </r>
    <r>
      <rPr>
        <sz val="10"/>
        <rFont val="Arial"/>
        <family val="0"/>
      </rPr>
      <t>) x (.00834)]</t>
    </r>
  </si>
  <si>
    <r>
      <t>BOD</t>
    </r>
    <r>
      <rPr>
        <vertAlign val="subscript"/>
        <sz val="10"/>
        <rFont val="Arial"/>
        <family val="2"/>
      </rPr>
      <t>ND</t>
    </r>
    <r>
      <rPr>
        <sz val="10"/>
        <rFont val="Arial"/>
        <family val="0"/>
      </rPr>
      <t xml:space="preserve"> is the Normal Domestic BOD strength in milligrams per liter (mg/l) as defined in Article II, Section 2, of the ordinance;</t>
    </r>
  </si>
  <si>
    <r>
      <t>SS</t>
    </r>
    <r>
      <rPr>
        <vertAlign val="subscript"/>
        <sz val="10"/>
        <rFont val="Arial"/>
        <family val="2"/>
      </rPr>
      <t>ND</t>
    </r>
    <r>
      <rPr>
        <sz val="10"/>
        <rFont val="Arial"/>
        <family val="0"/>
      </rPr>
      <t xml:space="preserve"> is the Normal Domestic SS strength in milligrams per liter (mg/l) as defined in Article II, Section 2, of the ordinance; and,</t>
    </r>
  </si>
  <si>
    <r>
      <t xml:space="preserve">Minimum Charge + Residential Unit Charge + surcharge for BOD (if applicable) + surcharge for SS (if applicable) + surcharge for </t>
    </r>
    <r>
      <rPr>
        <i/>
        <sz val="10"/>
        <rFont val="Arial"/>
        <family val="2"/>
      </rPr>
      <t>other pollutant(s)</t>
    </r>
    <r>
      <rPr>
        <sz val="10"/>
        <rFont val="Arial"/>
        <family val="0"/>
      </rPr>
      <t>if applicable.</t>
    </r>
  </si>
  <si>
    <r>
      <t>Minimum Charge + v(Residential Unit Charge) + v(unit BOD charge)(BOD</t>
    </r>
    <r>
      <rPr>
        <vertAlign val="subscript"/>
        <sz val="10"/>
        <rFont val="Arial"/>
        <family val="2"/>
      </rPr>
      <t>ES</t>
    </r>
    <r>
      <rPr>
        <sz val="10"/>
        <rFont val="Arial"/>
        <family val="2"/>
      </rPr>
      <t xml:space="preserve"> - BOD</t>
    </r>
    <r>
      <rPr>
        <vertAlign val="subscript"/>
        <sz val="10"/>
        <rFont val="Arial"/>
        <family val="2"/>
      </rPr>
      <t>ND</t>
    </r>
    <r>
      <rPr>
        <sz val="10"/>
        <rFont val="Arial"/>
        <family val="2"/>
      </rPr>
      <t>)(.00834) + v(unit SS charge)(SS</t>
    </r>
    <r>
      <rPr>
        <vertAlign val="subscript"/>
        <sz val="10"/>
        <rFont val="Arial"/>
        <family val="2"/>
      </rPr>
      <t>ES</t>
    </r>
    <r>
      <rPr>
        <sz val="10"/>
        <rFont val="Arial"/>
        <family val="2"/>
      </rPr>
      <t xml:space="preserve"> - SS</t>
    </r>
    <r>
      <rPr>
        <vertAlign val="subscript"/>
        <sz val="10"/>
        <rFont val="Arial"/>
        <family val="2"/>
      </rPr>
      <t>ND</t>
    </r>
    <r>
      <rPr>
        <sz val="10"/>
        <rFont val="Arial"/>
        <family val="2"/>
      </rPr>
      <t xml:space="preserve">)(.00834) + and so on for any </t>
    </r>
    <r>
      <rPr>
        <i/>
        <sz val="10"/>
        <rFont val="Arial"/>
        <family val="2"/>
      </rPr>
      <t>other pollutant(s)</t>
    </r>
    <r>
      <rPr>
        <sz val="10"/>
        <rFont val="Arial"/>
        <family val="2"/>
      </rPr>
      <t xml:space="preserve"> if applicable.</t>
    </r>
  </si>
  <si>
    <r>
      <t>BOD</t>
    </r>
    <r>
      <rPr>
        <vertAlign val="subscript"/>
        <sz val="10"/>
        <rFont val="Arial"/>
        <family val="2"/>
      </rPr>
      <t>ES</t>
    </r>
    <r>
      <rPr>
        <sz val="10"/>
        <rFont val="Arial"/>
        <family val="0"/>
      </rPr>
      <t xml:space="preserve"> is the average BOD concentration in milligrams per liter (mg/l) contributed by the extra strength user during the month;</t>
    </r>
  </si>
  <si>
    <r>
      <t>SS</t>
    </r>
    <r>
      <rPr>
        <vertAlign val="subscript"/>
        <sz val="10"/>
        <rFont val="Arial"/>
        <family val="2"/>
      </rPr>
      <t>ES</t>
    </r>
    <r>
      <rPr>
        <sz val="10"/>
        <rFont val="Arial"/>
        <family val="0"/>
      </rPr>
      <t xml:space="preserve"> is the average SS concentration in milligrams per liter (mg/l) contributed by the extra strength user during the month;</t>
    </r>
  </si>
  <si>
    <r>
      <t>BOD</t>
    </r>
    <r>
      <rPr>
        <vertAlign val="subscript"/>
        <sz val="10"/>
        <rFont val="Arial"/>
        <family val="2"/>
      </rPr>
      <t>ND</t>
    </r>
    <r>
      <rPr>
        <sz val="10"/>
        <rFont val="Arial"/>
        <family val="0"/>
      </rPr>
      <t xml:space="preserve"> is the Normal Domestic BOD strength in mg/l as defined in Article II, Section 2, of the ordinance;</t>
    </r>
  </si>
  <si>
    <r>
      <t>SS</t>
    </r>
    <r>
      <rPr>
        <vertAlign val="subscript"/>
        <sz val="10"/>
        <rFont val="Arial"/>
        <family val="2"/>
      </rPr>
      <t>ND</t>
    </r>
    <r>
      <rPr>
        <sz val="10"/>
        <rFont val="Arial"/>
        <family val="0"/>
      </rPr>
      <t xml:space="preserve"> is the Normal Domestic SS strength in mg/l as defined in Article II, Section 2, of the ordinance; and,</t>
    </r>
  </si>
  <si>
    <r>
      <t>Assumed BOD</t>
    </r>
    <r>
      <rPr>
        <vertAlign val="subscript"/>
        <sz val="10"/>
        <rFont val="Arial"/>
        <family val="2"/>
      </rPr>
      <t>ES</t>
    </r>
  </si>
  <si>
    <r>
      <t>Assumed SS</t>
    </r>
    <r>
      <rPr>
        <vertAlign val="subscript"/>
        <sz val="10"/>
        <rFont val="Arial"/>
        <family val="2"/>
      </rPr>
      <t>ES</t>
    </r>
  </si>
  <si>
    <t>Replace seals, chamber fluids, gaskets</t>
  </si>
  <si>
    <t>Chlorination rebuild</t>
  </si>
  <si>
    <t>Float replacements</t>
  </si>
  <si>
    <t>One-year items</t>
  </si>
  <si>
    <t>Aerator belts</t>
  </si>
  <si>
    <t>Clarifier gear box</t>
  </si>
  <si>
    <t>Pump wear rings and gear box seals</t>
  </si>
  <si>
    <t>Three-year items</t>
  </si>
  <si>
    <t>Moter rebuild</t>
  </si>
  <si>
    <t>Impeller replacement</t>
  </si>
  <si>
    <t>Five-year items</t>
  </si>
  <si>
    <t>Electrical replacements</t>
  </si>
  <si>
    <t>Eight-year items</t>
  </si>
  <si>
    <t>Nine-year items</t>
  </si>
  <si>
    <t>Ten-year items</t>
  </si>
  <si>
    <t>Less Initial Deposit</t>
  </si>
  <si>
    <t>Other (specify)</t>
  </si>
  <si>
    <t>Material Costs</t>
  </si>
  <si>
    <t>6. Residential User Unit Charge:</t>
  </si>
  <si>
    <t>Appendix A to User Charge System</t>
  </si>
  <si>
    <t>Appendix B to User Charge System</t>
  </si>
  <si>
    <t>REPLACEMENT SCHEDULE</t>
  </si>
  <si>
    <t>REPLACEMENT FUND ANNUAL ANNUITY</t>
  </si>
  <si>
    <t>Appendix C to User Charge System</t>
  </si>
  <si>
    <t>XX% annual cost allocated to flow x (total annual O&amp;M budget minus billing, collection, administration, and debt less dedicated debt revenue)</t>
  </si>
  <si>
    <t>XX% annual cost allocated to BOD x (total annual O&amp;M budget minus billing, collection, administration, and debt less dedicated debt revenue)</t>
  </si>
  <si>
    <t>XX% annual cost allocated to SS x (total annual O&amp;M budget minus billing, collection, administration, and debt less dedicated debt revenue)</t>
  </si>
  <si>
    <t>XX% annual cost allocated to Other Pollutant x (total annual O&amp;M budget minus billing, collection, administration, and debt less dedicated debt revenue)</t>
  </si>
  <si>
    <t>(A separate sheet showing what items are to be replaced, what year, and estimated replacement cost, should also be attached.)</t>
  </si>
  <si>
    <r>
      <t xml:space="preserve">The residential user unit charge is calculated as follows using the Normal Domestic pollutant concentrations as defined in Article II, Section 2 of this ordinance.  </t>
    </r>
    <r>
      <rPr>
        <b/>
        <sz val="10"/>
        <rFont val="Arial"/>
        <family val="2"/>
      </rPr>
      <t xml:space="preserve">Note: If the estimated loadings in paragraph 3 result in pollutant concentrations that are different than those defined in Article II, Section 2 of this ordinance, then the definition must be revised or the contributors of extra strength wastewater must be identified (see paragraph 7). </t>
    </r>
  </si>
  <si>
    <r>
      <t xml:space="preserve">Rate Assist </t>
    </r>
    <r>
      <rPr>
        <sz val="10"/>
        <rFont val="Arial"/>
        <family val="2"/>
      </rPr>
      <t xml:space="preserve">is designed to produce proportional rates based on actual usage.  For entities participating in the Clean Water State Revolving Fund (CWSRF) loan program, or other grant and loan programs administered by the department, their User Charge methodology </t>
    </r>
    <r>
      <rPr>
        <u val="single"/>
        <sz val="10"/>
        <rFont val="Arial"/>
        <family val="2"/>
      </rPr>
      <t>must</t>
    </r>
    <r>
      <rPr>
        <sz val="10"/>
        <rFont val="Arial"/>
        <family val="2"/>
      </rPr>
      <t xml:space="preserve"> contain rates that are proportional based on actual use.  However, the use of </t>
    </r>
    <r>
      <rPr>
        <b/>
        <sz val="10"/>
        <rFont val="Arial"/>
        <family val="2"/>
      </rPr>
      <t>Rate Assist</t>
    </r>
    <r>
      <rPr>
        <sz val="10"/>
        <rFont val="Arial"/>
        <family val="2"/>
      </rPr>
      <t xml:space="preserve"> is </t>
    </r>
    <r>
      <rPr>
        <u val="single"/>
        <sz val="10"/>
        <rFont val="Arial"/>
        <family val="2"/>
      </rPr>
      <t>not</t>
    </r>
    <r>
      <rPr>
        <sz val="10"/>
        <rFont val="Arial"/>
        <family val="2"/>
      </rPr>
      <t xml:space="preserve"> required for participation in any grant or loan program administered by the department.</t>
    </r>
  </si>
  <si>
    <t>A.  Budget &amp; Rate Methodology Spreadsheet</t>
  </si>
  <si>
    <t>Once the budget information has been entered, users will need to enter the allocation percentages for Flow, BOD and SS associated with their particular type of treatment system.  For mechanical treatment facilities, the allocation percentages are typically 40-30-30 for Flow, BOD and SS.  The percentage for Flow would be higher, with the percentages for BOD and SS being lower, for lagoon facilities.  Keep in mind that the percentages must equal 100%.</t>
  </si>
  <si>
    <r>
      <t xml:space="preserve">On the </t>
    </r>
    <r>
      <rPr>
        <b/>
        <sz val="10"/>
        <rFont val="Arial"/>
        <family val="2"/>
      </rPr>
      <t>Budget &amp; Rate Methodology</t>
    </r>
    <r>
      <rPr>
        <sz val="10"/>
        <rFont val="Arial"/>
        <family val="2"/>
      </rPr>
      <t xml:space="preserve"> spreadsheet, users will enter the budgeted expenses associated with their wastewater system.  In addition to the expenses, users will also enter information regarding other revenues that are used to fund their wastewater system.  Examples of these other revenue sources include Dedicated Capital Improvement Sales Taxes, Ad Valorem Taxes, Sewer Connection Fees, Interest Income, Etc.  When other revenue sources are being used to fund the wastewater system, users should rely on historical amounts for the various revenue sources.  Also, very conservative estimates should be utilized for revenues from connection fees or other sources that can vary greatly from one year to the next.  Over-estimating these revenues can have a detrimental impact on the financial stability of your wastewater system.</t>
    </r>
  </si>
  <si>
    <r>
      <t xml:space="preserve">In Section 3 (Loadings) of the </t>
    </r>
    <r>
      <rPr>
        <b/>
        <sz val="10"/>
        <rFont val="Arial"/>
        <family val="2"/>
      </rPr>
      <t>Budget &amp; Rate Methodology</t>
    </r>
    <r>
      <rPr>
        <sz val="10"/>
        <rFont val="Arial"/>
        <family val="2"/>
      </rPr>
      <t xml:space="preserve"> spreadsheet, enter data for the Number of System Users, Hydraulic Loading (less I&amp;I), BOD Loading, and SS Loading.  The figure entered for Hydraulic Loading must reflect the amount of billable water volume (or other estimate of usage) rather than the amount of flow at the treatment plant.  Otherwise, the rates will not generate sufficient revenues.  Once the data has been entered, Rate Assist  will calculate the concentrations for Normal Domestic BOD and SS based on the loadings entered.  The concentrations for BOD and SS should coincide with the Normal Domestic concentrations as defined in your User Charge ordinance.  If not, either revise the loading estimates or amend the ordinance language so that the loading estimates and ordinance language don't conflict.  </t>
    </r>
  </si>
  <si>
    <r>
      <t xml:space="preserve">Based on the Expenses (Section 1), Allocation Percentages (Section 2) and the Loading (Section 3) information entered, </t>
    </r>
    <r>
      <rPr>
        <b/>
        <sz val="10"/>
        <rFont val="Arial"/>
        <family val="2"/>
      </rPr>
      <t>Rate Assist</t>
    </r>
    <r>
      <rPr>
        <sz val="10"/>
        <rFont val="Arial"/>
        <family val="2"/>
      </rPr>
      <t xml:space="preserve"> will calculate the Unit Costs for Flow, BOD and SS in Section 4 of the spreadsheet.  These Unit Costs will be used later in the </t>
    </r>
    <r>
      <rPr>
        <b/>
        <sz val="10"/>
        <rFont val="Arial"/>
        <family val="2"/>
      </rPr>
      <t>Budget &amp; Rate Methodology</t>
    </r>
    <r>
      <rPr>
        <sz val="10"/>
        <rFont val="Arial"/>
        <family val="2"/>
      </rPr>
      <t xml:space="preserve"> spreadsheet to calculate the Residential User Unit Charge (Volumetric rate).  The Unit Costs will also be used for calculating the charges for users who discharge high-strength wastewater that exceeds the Normal Domestic concentrations for BOD and/or SS.</t>
    </r>
  </si>
  <si>
    <r>
      <t xml:space="preserve">When entering expenses into the </t>
    </r>
    <r>
      <rPr>
        <b/>
        <sz val="10"/>
        <rFont val="Arial"/>
        <family val="2"/>
      </rPr>
      <t>Budget &amp; Rate Methodology</t>
    </r>
    <r>
      <rPr>
        <sz val="10"/>
        <rFont val="Arial"/>
        <family val="2"/>
      </rPr>
      <t xml:space="preserve"> spreadsheet, users should keep in mind that </t>
    </r>
    <r>
      <rPr>
        <b/>
        <sz val="10"/>
        <rFont val="Arial"/>
        <family val="2"/>
      </rPr>
      <t>Rate Assist</t>
    </r>
    <r>
      <rPr>
        <sz val="10"/>
        <rFont val="Arial"/>
        <family val="2"/>
      </rPr>
      <t xml:space="preserve"> is set-up to automatically direct expenses from certain line items to the "Minimum Charge" calculation.  This includes the following budget line items: </t>
    </r>
    <r>
      <rPr>
        <b/>
        <sz val="10"/>
        <rFont val="Arial"/>
        <family val="2"/>
      </rPr>
      <t>Billing and Collection</t>
    </r>
    <r>
      <rPr>
        <sz val="10"/>
        <rFont val="Arial"/>
        <family val="2"/>
      </rPr>
      <t xml:space="preserve">, </t>
    </r>
    <r>
      <rPr>
        <b/>
        <sz val="10"/>
        <rFont val="Arial"/>
        <family val="2"/>
      </rPr>
      <t>Administration</t>
    </r>
    <r>
      <rPr>
        <sz val="10"/>
        <rFont val="Arial"/>
        <family val="2"/>
      </rPr>
      <t xml:space="preserve">, and </t>
    </r>
    <r>
      <rPr>
        <b/>
        <sz val="10"/>
        <rFont val="Arial"/>
        <family val="2"/>
      </rPr>
      <t>Total Annual Debt Service</t>
    </r>
    <r>
      <rPr>
        <sz val="10"/>
        <rFont val="Arial"/>
        <family val="2"/>
      </rPr>
      <t xml:space="preserve">.  Other than these three line items, all of the expenses from the other line items are used in the volumetric rate calculation.  Users can adjust their budget entries to reflect the needs of their specific system.  The expense amount for Replacement Costs will automatically fill-in once the </t>
    </r>
    <r>
      <rPr>
        <b/>
        <sz val="10"/>
        <rFont val="Arial"/>
        <family val="2"/>
      </rPr>
      <t>Replacement Schedule</t>
    </r>
    <r>
      <rPr>
        <sz val="10"/>
        <rFont val="Arial"/>
        <family val="2"/>
      </rPr>
      <t xml:space="preserve"> and </t>
    </r>
    <r>
      <rPr>
        <b/>
        <sz val="10"/>
        <rFont val="Arial"/>
        <family val="2"/>
      </rPr>
      <t>Annual Replacement Annuity</t>
    </r>
    <r>
      <rPr>
        <sz val="10"/>
        <rFont val="Arial"/>
        <family val="2"/>
      </rPr>
      <t xml:space="preserve"> spreadsheets are completed.  Those spreadsheets are discussed in greater detail in Sections B and C of the Instructions.</t>
    </r>
  </si>
  <si>
    <t>per 1,000 gallons</t>
  </si>
  <si>
    <r>
      <t xml:space="preserve">In Section 5 (Minimum Charge), enter the number of Billing Periods that corresponds to your particular billing system (for monthly billings enter 12, quarterly billings would be 4, etc.).  Once the number of Billing Periods is entered, </t>
    </r>
    <r>
      <rPr>
        <b/>
        <sz val="10"/>
        <rFont val="Arial"/>
        <family val="2"/>
      </rPr>
      <t>Rate Assist</t>
    </r>
    <r>
      <rPr>
        <sz val="10"/>
        <rFont val="Arial"/>
        <family val="2"/>
      </rPr>
      <t xml:space="preserve"> will calculate the Minimum Charge/User/Billing Period.  As discussed above, </t>
    </r>
    <r>
      <rPr>
        <b/>
        <sz val="10"/>
        <rFont val="Arial"/>
        <family val="2"/>
      </rPr>
      <t>Rate Assist</t>
    </r>
    <r>
      <rPr>
        <sz val="10"/>
        <rFont val="Arial"/>
        <family val="2"/>
      </rPr>
      <t xml:space="preserve"> is designed to automatically allocate the expenses entered in the Billing and Collection, Administration and Annual Debt Service line items to the Minimum Charge calculation.  Some entities opt to include a set amount of usage in the Minimum Charge.  If that is the case, the corresponding Residential User Unit Charge (from Section 6) will need to be added the Minimum Charge amount calculated in Section 5.  Otherwise, users won't be charged for costs associated with the flow included in the Minimum Charge.</t>
    </r>
  </si>
  <si>
    <r>
      <t xml:space="preserve">At this point, if the </t>
    </r>
    <r>
      <rPr>
        <b/>
        <sz val="10"/>
        <rFont val="Arial"/>
        <family val="2"/>
      </rPr>
      <t>Replacement Schedule</t>
    </r>
    <r>
      <rPr>
        <sz val="10"/>
        <rFont val="Arial"/>
        <family val="2"/>
      </rPr>
      <t xml:space="preserve"> and </t>
    </r>
    <r>
      <rPr>
        <b/>
        <sz val="10"/>
        <rFont val="Arial"/>
        <family val="2"/>
      </rPr>
      <t>Annual Replacement Annuity</t>
    </r>
    <r>
      <rPr>
        <sz val="10"/>
        <rFont val="Arial"/>
        <family val="2"/>
      </rPr>
      <t xml:space="preserve"> spreadsheets have been completed, no further data entry is needed.  In Section 6 (Residential User Unit Charge), </t>
    </r>
    <r>
      <rPr>
        <b/>
        <sz val="10"/>
        <rFont val="Arial"/>
        <family val="2"/>
      </rPr>
      <t>Rate Assist</t>
    </r>
    <r>
      <rPr>
        <sz val="10"/>
        <rFont val="Arial"/>
        <family val="2"/>
      </rPr>
      <t xml:space="preserve"> calculates a volumetric rate based on all of the data entered.  The rate is shown as dollars per 1,000 gallons.  If your wastewater system bills are based on a rate per 100 cubic feet, simply use the following conversion to convert gallons to cubic feet:  Gallons divided by 7.48052 equals cubic feet (Example:  1,000/7.48052 = 133.681 cubic feet).  At the end of Section 6, </t>
    </r>
    <r>
      <rPr>
        <b/>
        <sz val="10"/>
        <rFont val="Arial"/>
        <family val="2"/>
      </rPr>
      <t xml:space="preserve">Rate Assist </t>
    </r>
    <r>
      <rPr>
        <sz val="10"/>
        <rFont val="Arial"/>
        <family val="2"/>
      </rPr>
      <t>provides a sample user charge calculation for a 5,000 gallon/month user.</t>
    </r>
  </si>
  <si>
    <r>
      <t xml:space="preserve">Section 7 (Extra Strength Users) provides a sample calculation for an extra strength user.  The final calculation in Section 7 of the </t>
    </r>
    <r>
      <rPr>
        <b/>
        <sz val="10"/>
        <rFont val="Arial"/>
        <family val="2"/>
      </rPr>
      <t>Budget &amp; Rate Methodology</t>
    </r>
    <r>
      <rPr>
        <sz val="10"/>
        <rFont val="Arial"/>
        <family val="2"/>
      </rPr>
      <t xml:space="preserve"> spreadsheet is an adequacy check to verify that the rates derived will actually generate sufficient revenues.  If this calculation indicates a deficit, please correct any erroneous data.  Also, be sure that any sample data contained in the spreadsheets has been removed if it doesn't apply to your system.</t>
    </r>
  </si>
  <si>
    <t>B.  Replacement Schedule Spreadsheet</t>
  </si>
  <si>
    <r>
      <t xml:space="preserve">To ensure that the wastewater system is properly maintained and that funds are available to cover those costs, a Replacement Schedule needs to be developed that addresses the major equipment components within the system.  As discussed at the top of the </t>
    </r>
    <r>
      <rPr>
        <b/>
        <sz val="10"/>
        <rFont val="Arial"/>
        <family val="2"/>
      </rPr>
      <t>Replacement Schedule</t>
    </r>
    <r>
      <rPr>
        <sz val="10"/>
        <rFont val="Arial"/>
        <family val="2"/>
      </rPr>
      <t xml:space="preserve"> spreadsheet, the schedule should list the major equipment components, their anticipated replacement date(s), and the estimated cost of replacement based on today's cost.  The schedule should cover the useful or design life of the wastewater system.  For loan participants, the schedule must cover the entire term of the loan, at a minimum.  As the user rates are reviewed each year, it is strongly recommended that the Replacement Schedule be updated as well to keep it current.</t>
    </r>
  </si>
  <si>
    <r>
      <t xml:space="preserve">When the </t>
    </r>
    <r>
      <rPr>
        <b/>
        <sz val="10"/>
        <rFont val="Arial"/>
        <family val="2"/>
      </rPr>
      <t>Replacement Schedule</t>
    </r>
    <r>
      <rPr>
        <sz val="10"/>
        <rFont val="Arial"/>
        <family val="2"/>
      </rPr>
      <t xml:space="preserve"> spreadsheet is first opened, users will see a sample Replacement Schedule that can be used as a guide for developing a Replacement Schedule for your particular wastewater system.  Due to the highly variable nature of replacement schedules, users will need to update and/or add formulas to the cells in the Yearly Total column.  Otherwise, the totals in the Yearly Total column may not be accurate.</t>
    </r>
  </si>
  <si>
    <r>
      <t xml:space="preserve">Once the </t>
    </r>
    <r>
      <rPr>
        <b/>
        <sz val="10"/>
        <rFont val="Arial"/>
        <family val="2"/>
      </rPr>
      <t>Replacement Schedule</t>
    </r>
    <r>
      <rPr>
        <sz val="10"/>
        <rFont val="Arial"/>
        <family val="2"/>
      </rPr>
      <t xml:space="preserve"> spreadsheet is complete and the yearly totals are verified, it is time to transfer that information to the </t>
    </r>
    <r>
      <rPr>
        <b/>
        <sz val="10"/>
        <rFont val="Arial"/>
        <family val="2"/>
      </rPr>
      <t>Annual Replacement Annuity</t>
    </r>
    <r>
      <rPr>
        <sz val="10"/>
        <rFont val="Arial"/>
        <family val="2"/>
      </rPr>
      <t xml:space="preserve"> spreadsheet.  The yearly totals from the Replacement Schedule will need to be manually entered in the Estimated Replacement Cost column for each year.  Also, be sure to remove any sample data that doesn't pertain to your particular system.  The estimated rates for Inflation and Interest need to be updated.  Also, if your wastewater system already has a Replacement Account established, enter the current balance in the corresponding field.</t>
    </r>
  </si>
  <si>
    <r>
      <t xml:space="preserve">Rate Assist </t>
    </r>
    <r>
      <rPr>
        <sz val="10"/>
        <rFont val="Arial"/>
        <family val="2"/>
      </rPr>
      <t xml:space="preserve">will calculate the Annual Annuity amount that will be required for the estimated replacement costs.  However, some years may show a deficit in the Net Fund Balance column.  If that is the case, the Annual Annuity amount may need to be increased to eliminate those deficits.  The Annual Annuity amount calculated on the </t>
    </r>
    <r>
      <rPr>
        <b/>
        <sz val="10"/>
        <rFont val="Arial"/>
        <family val="2"/>
      </rPr>
      <t>Annual Replacement Annuity</t>
    </r>
    <r>
      <rPr>
        <sz val="10"/>
        <rFont val="Arial"/>
        <family val="2"/>
      </rPr>
      <t xml:space="preserve"> spreadsheet will be automatically inserted into the Replacement Costs line item in the budget.</t>
    </r>
  </si>
  <si>
    <t>D.  Questions, Comments, Etc.</t>
  </si>
  <si>
    <t>C.  Annual Replacement Annuity Spreadsheet</t>
  </si>
  <si>
    <t>RATE ASSIST (Wastewater) Program</t>
  </si>
  <si>
    <r>
      <t xml:space="preserve">The </t>
    </r>
    <r>
      <rPr>
        <b/>
        <sz val="10"/>
        <rFont val="Arial"/>
        <family val="2"/>
      </rPr>
      <t>Rate Assist</t>
    </r>
    <r>
      <rPr>
        <sz val="10"/>
        <rFont val="Arial"/>
        <family val="2"/>
      </rPr>
      <t xml:space="preserve"> program is an Excel based workbook consisting of four separate spreadsheets: (1) Instructions, (2) Budget &amp; Rate Methodology, (3) Replacement Schedule, and (4) Annual Replacement Annuity.  To complete the various spreadsheets, users will need to have the following information available: (1) wastewater system budget, (2) number of users, (3) billable water volume (or other estimate of system usage), (4) loading estimates for BOD and Suspended Solids (SS), and (5) list of system replacement items including current replacement cost.  To avoid erasing or overwriting the formulas in </t>
    </r>
    <r>
      <rPr>
        <b/>
        <sz val="10"/>
        <rFont val="Arial"/>
        <family val="2"/>
      </rPr>
      <t>Rate Assist</t>
    </r>
    <r>
      <rPr>
        <sz val="10"/>
        <rFont val="Arial"/>
        <family val="2"/>
      </rPr>
      <t xml:space="preserve">, do not enter any data or information in the green highlighted cells.  Prior to entering any data into the </t>
    </r>
    <r>
      <rPr>
        <b/>
        <sz val="10"/>
        <rFont val="Arial"/>
        <family val="2"/>
      </rPr>
      <t>Rate Assist</t>
    </r>
    <r>
      <rPr>
        <sz val="10"/>
        <rFont val="Arial"/>
        <family val="2"/>
      </rPr>
      <t xml:space="preserve"> program, it is recommended that users save a secondary copy as a backup in case some of the formulas are inadvertently erased.</t>
    </r>
  </si>
  <si>
    <r>
      <t xml:space="preserve">For questions relating to </t>
    </r>
    <r>
      <rPr>
        <b/>
        <sz val="10"/>
        <rFont val="Arial"/>
        <family val="2"/>
      </rPr>
      <t>Rate Assist</t>
    </r>
    <r>
      <rPr>
        <sz val="10"/>
        <rFont val="Arial"/>
        <family val="2"/>
      </rPr>
      <t>, the CWSRF loan program or other loan and grant programs administered by the department, please contact the Water Protection Program's Financial Assistance Center at (573) 751-1192.</t>
    </r>
  </si>
  <si>
    <r>
      <t xml:space="preserve">Welcome to the Missouri Department of Natural Resources' wastewater </t>
    </r>
    <r>
      <rPr>
        <b/>
        <sz val="10"/>
        <rFont val="Arial"/>
        <family val="2"/>
      </rPr>
      <t>Rate Assist</t>
    </r>
    <r>
      <rPr>
        <sz val="10"/>
        <rFont val="Arial"/>
        <family val="2"/>
      </rPr>
      <t xml:space="preserve"> Program.  The </t>
    </r>
    <r>
      <rPr>
        <b/>
        <sz val="10"/>
        <rFont val="Arial"/>
        <family val="2"/>
      </rPr>
      <t>Rate Assist</t>
    </r>
    <r>
      <rPr>
        <sz val="10"/>
        <rFont val="Arial"/>
        <family val="2"/>
      </rPr>
      <t xml:space="preserve"> Program was developed as a tool to help wastewater system operators with the development of a proportional user rate structure.  Throughout the different </t>
    </r>
    <r>
      <rPr>
        <b/>
        <sz val="10"/>
        <rFont val="Arial"/>
        <family val="2"/>
      </rPr>
      <t>Rate Assist</t>
    </r>
    <r>
      <rPr>
        <sz val="10"/>
        <rFont val="Arial"/>
        <family val="2"/>
      </rPr>
      <t xml:space="preserve"> spreadsheets, users will see references to various "Article" and "Section" numbers.  These references refer to the department's model User Charge Ordinance, which can be viewed and downloaded at www.dnr.mo.gov/env/wpp/srf/cw-user-charge-ordinance.doc  </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</si>
</sst>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Red]\(#,##0.0\)"/>
    <numFmt numFmtId="165" formatCode="_(* #,##0.0_);_(* \(#,##0.0\);_(* &quot;-&quot;??_);_(@_)"/>
    <numFmt numFmtId="166" formatCode="_(* #,##0_);_(* \(#,##0\);_(* &quot;-&quot;??_);_(@_)"/>
    <numFmt numFmtId="167" formatCode="_(* #,##0.000_);_(* \(#,##0.000\);_(* &quot;-&quot;??_);_(@_)"/>
    <numFmt numFmtId="168" formatCode="_(* #,##0.0000_);_(* \(#,##0.0000\);_(*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 numFmtId="173" formatCode="&quot;$&quot;#,##0.00"/>
    <numFmt numFmtId="174" formatCode="_(* #,##0.00000_);_(* \(#,##0.00000\);_(* &quot;-&quot;??_);_(@_)"/>
    <numFmt numFmtId="175" formatCode="_(* #,##0.000000_);_(* \(#,##0.000000\);_(* &quot;-&quot;??_);_(@_)"/>
    <numFmt numFmtId="176" formatCode="_(* #,##0.0000000_);_(* \(#,##0.0000000\);_(* &quot;-&quot;??_);_(@_)"/>
    <numFmt numFmtId="177" formatCode="0.000000_)"/>
    <numFmt numFmtId="178" formatCode="#,##0.000000_);\(#,##0.000000\)"/>
    <numFmt numFmtId="179" formatCode="mmmmm\-yy"/>
    <numFmt numFmtId="180" formatCode="0.000"/>
    <numFmt numFmtId="181" formatCode="#,##0.0"/>
  </numFmts>
  <fonts count="56">
    <font>
      <sz val="10"/>
      <name val="Arial"/>
      <family val="0"/>
    </font>
    <font>
      <b/>
      <sz val="10"/>
      <name val="Arial"/>
      <family val="2"/>
    </font>
    <font>
      <b/>
      <sz val="10"/>
      <color indexed="10"/>
      <name val="Arial"/>
      <family val="2"/>
    </font>
    <font>
      <b/>
      <i/>
      <sz val="12"/>
      <color indexed="10"/>
      <name val="Arial"/>
      <family val="2"/>
    </font>
    <font>
      <b/>
      <sz val="12"/>
      <name val="Arial"/>
      <family val="2"/>
    </font>
    <font>
      <b/>
      <i/>
      <sz val="12"/>
      <name val="Arial"/>
      <family val="2"/>
    </font>
    <font>
      <b/>
      <u val="single"/>
      <sz val="12"/>
      <name val="Arial"/>
      <family val="2"/>
    </font>
    <font>
      <i/>
      <sz val="12"/>
      <name val="Arial"/>
      <family val="2"/>
    </font>
    <font>
      <sz val="12"/>
      <name val="Arial"/>
      <family val="2"/>
    </font>
    <font>
      <u val="single"/>
      <sz val="12"/>
      <name val="Arial"/>
      <family val="2"/>
    </font>
    <font>
      <b/>
      <sz val="12"/>
      <color indexed="8"/>
      <name val="Arial"/>
      <family val="2"/>
    </font>
    <font>
      <sz val="12"/>
      <color indexed="8"/>
      <name val="Arial"/>
      <family val="2"/>
    </font>
    <font>
      <b/>
      <u val="single"/>
      <sz val="10"/>
      <name val="Arial"/>
      <family val="2"/>
    </font>
    <font>
      <u val="singleAccounting"/>
      <sz val="10"/>
      <name val="Arial"/>
      <family val="2"/>
    </font>
    <font>
      <b/>
      <i/>
      <sz val="10"/>
      <name val="Arial"/>
      <family val="2"/>
    </font>
    <font>
      <i/>
      <sz val="10"/>
      <name val="Arial"/>
      <family val="2"/>
    </font>
    <font>
      <u val="single"/>
      <sz val="10"/>
      <name val="Arial"/>
      <family val="2"/>
    </font>
    <font>
      <i/>
      <u val="single"/>
      <sz val="10"/>
      <name val="Arial"/>
      <family val="2"/>
    </font>
    <font>
      <vertAlign val="subscript"/>
      <sz val="10"/>
      <name val="Arial"/>
      <family val="2"/>
    </font>
    <font>
      <sz val="10"/>
      <name val="Times New Roman"/>
      <family val="1"/>
    </font>
    <font>
      <b/>
      <sz val="18"/>
      <color indexed="48"/>
      <name val="Arial"/>
      <family val="2"/>
    </font>
    <font>
      <b/>
      <sz val="14"/>
      <color indexed="4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color indexed="8"/>
      </bottom>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9">
    <xf numFmtId="0" fontId="0" fillId="0" borderId="0" xfId="0" applyAlignment="1">
      <alignment/>
    </xf>
    <xf numFmtId="0" fontId="3" fillId="0" borderId="0" xfId="0" applyFont="1" applyAlignment="1">
      <alignment/>
    </xf>
    <xf numFmtId="0" fontId="4" fillId="0" borderId="0" xfId="0" applyFont="1" applyAlignment="1" applyProtection="1">
      <alignment/>
      <protection/>
    </xf>
    <xf numFmtId="0" fontId="4" fillId="0" borderId="0" xfId="0" applyFont="1" applyAlignment="1" applyProtection="1">
      <alignment horizontal="right"/>
      <protection/>
    </xf>
    <xf numFmtId="0" fontId="5" fillId="0" borderId="0" xfId="0" applyFont="1" applyAlignment="1" applyProtection="1">
      <alignment horizontal="right"/>
      <protection/>
    </xf>
    <xf numFmtId="10" fontId="4" fillId="0" borderId="0" xfId="0" applyNumberFormat="1" applyFont="1" applyAlignment="1" applyProtection="1">
      <alignment horizontal="right"/>
      <protection locked="0"/>
    </xf>
    <xf numFmtId="10" fontId="4" fillId="0" borderId="0" xfId="57" applyNumberFormat="1" applyFont="1" applyAlignment="1" applyProtection="1">
      <alignment horizontal="right"/>
      <protection locked="0"/>
    </xf>
    <xf numFmtId="10" fontId="4" fillId="0" borderId="0" xfId="0" applyNumberFormat="1" applyFont="1" applyAlignment="1" applyProtection="1" quotePrefix="1">
      <alignment horizontal="center"/>
      <protection/>
    </xf>
    <xf numFmtId="10" fontId="4" fillId="0" borderId="0" xfId="0" applyNumberFormat="1" applyFont="1" applyAlignment="1" applyProtection="1">
      <alignment horizontal="center"/>
      <protection/>
    </xf>
    <xf numFmtId="0" fontId="4" fillId="0" borderId="0" xfId="0" applyFont="1" applyAlignment="1" applyProtection="1">
      <alignment horizontal="center"/>
      <protection/>
    </xf>
    <xf numFmtId="0" fontId="6" fillId="0" borderId="0" xfId="0" applyFont="1" applyAlignment="1" applyProtection="1">
      <alignment horizontal="center"/>
      <protection/>
    </xf>
    <xf numFmtId="7" fontId="7" fillId="0" borderId="0" xfId="44" applyNumberFormat="1" applyFont="1" applyFill="1" applyAlignment="1" applyProtection="1">
      <alignment horizontal="center"/>
      <protection/>
    </xf>
    <xf numFmtId="7" fontId="0" fillId="0" borderId="0" xfId="0" applyNumberFormat="1" applyAlignment="1">
      <alignment/>
    </xf>
    <xf numFmtId="0" fontId="5" fillId="0" borderId="0" xfId="0" applyFont="1" applyFill="1" applyAlignment="1" applyProtection="1">
      <alignment horizontal="right"/>
      <protection/>
    </xf>
    <xf numFmtId="7" fontId="4" fillId="0" borderId="0" xfId="0" applyNumberFormat="1" applyFont="1" applyFill="1" applyAlignment="1" applyProtection="1">
      <alignment horizontal="right"/>
      <protection/>
    </xf>
    <xf numFmtId="0" fontId="0" fillId="0" borderId="0" xfId="0" applyBorder="1" applyAlignment="1">
      <alignment/>
    </xf>
    <xf numFmtId="8" fontId="0" fillId="0" borderId="0" xfId="44" applyNumberFormat="1" applyFont="1" applyFill="1" applyBorder="1" applyAlignment="1" applyProtection="1">
      <alignment horizontal="right" vertical="center"/>
      <protection locked="0"/>
    </xf>
    <xf numFmtId="8" fontId="0" fillId="0" borderId="0" xfId="44" applyNumberFormat="1" applyFont="1" applyBorder="1" applyAlignment="1" applyProtection="1">
      <alignment horizontal="right" vertical="center"/>
      <protection locked="0"/>
    </xf>
    <xf numFmtId="38" fontId="0" fillId="0" borderId="0" xfId="0" applyNumberFormat="1" applyBorder="1" applyAlignment="1">
      <alignment horizontal="center" vertical="center" wrapText="1"/>
    </xf>
    <xf numFmtId="8" fontId="4" fillId="0" borderId="0" xfId="44" applyNumberFormat="1" applyFont="1" applyBorder="1" applyAlignment="1" applyProtection="1">
      <alignment horizontal="center" vertical="center"/>
      <protection locked="0"/>
    </xf>
    <xf numFmtId="0" fontId="10" fillId="0" borderId="0" xfId="0" applyFont="1" applyBorder="1" applyAlignment="1">
      <alignment horizontal="center" vertical="center" wrapText="1"/>
    </xf>
    <xf numFmtId="38" fontId="11"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left" vertical="center" wrapText="1"/>
      <protection locked="0"/>
    </xf>
    <xf numFmtId="0" fontId="11" fillId="0" borderId="10" xfId="0" applyFont="1" applyFill="1" applyBorder="1" applyAlignment="1">
      <alignment/>
    </xf>
    <xf numFmtId="38" fontId="11" fillId="0" borderId="0" xfId="0" applyNumberFormat="1" applyFont="1" applyFill="1" applyBorder="1" applyAlignment="1">
      <alignment horizontal="center" vertical="center" wrapText="1"/>
    </xf>
    <xf numFmtId="0" fontId="8" fillId="0" borderId="0" xfId="0" applyFont="1" applyFill="1" applyBorder="1" applyAlignment="1" applyProtection="1">
      <alignment horizontal="left" vertical="center" wrapText="1"/>
      <protection locked="0"/>
    </xf>
    <xf numFmtId="7" fontId="8" fillId="0" borderId="0" xfId="0" applyNumberFormat="1" applyFont="1" applyFill="1" applyBorder="1" applyAlignment="1" applyProtection="1">
      <alignment horizontal="right" vertical="center"/>
      <protection locked="0"/>
    </xf>
    <xf numFmtId="0" fontId="11" fillId="0" borderId="0" xfId="0" applyFont="1" applyFill="1" applyBorder="1" applyAlignment="1">
      <alignment/>
    </xf>
    <xf numFmtId="38" fontId="8" fillId="0" borderId="0" xfId="0" applyNumberFormat="1" applyFont="1" applyFill="1" applyBorder="1" applyAlignment="1" applyProtection="1">
      <alignment horizontal="center" vertical="center" wrapText="1"/>
      <protection locked="0"/>
    </xf>
    <xf numFmtId="38"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8" fontId="4" fillId="0" borderId="10" xfId="44" applyNumberFormat="1" applyFont="1" applyBorder="1" applyAlignment="1" applyProtection="1">
      <alignment horizontal="center" vertical="center" wrapText="1"/>
      <protection locked="0"/>
    </xf>
    <xf numFmtId="0" fontId="8" fillId="0" borderId="11" xfId="0" applyFont="1" applyFill="1" applyBorder="1" applyAlignment="1" applyProtection="1">
      <alignment horizontal="left" vertical="center" wrapText="1"/>
      <protection locked="0"/>
    </xf>
    <xf numFmtId="0" fontId="8" fillId="0" borderId="0" xfId="0" applyFont="1" applyAlignment="1">
      <alignment/>
    </xf>
    <xf numFmtId="38" fontId="8" fillId="0" borderId="0" xfId="0" applyNumberFormat="1" applyFont="1" applyBorder="1" applyAlignment="1">
      <alignment horizontal="center" vertical="center" wrapText="1"/>
    </xf>
    <xf numFmtId="0" fontId="4" fillId="0" borderId="0" xfId="0" applyFont="1" applyBorder="1" applyAlignment="1">
      <alignment horizontal="center"/>
    </xf>
    <xf numFmtId="0" fontId="8" fillId="0" borderId="0" xfId="0" applyFont="1" applyBorder="1" applyAlignment="1">
      <alignment/>
    </xf>
    <xf numFmtId="8" fontId="8" fillId="0" borderId="10" xfId="44" applyNumberFormat="1" applyFont="1" applyFill="1" applyBorder="1" applyAlignment="1" applyProtection="1">
      <alignment horizontal="right" vertical="center"/>
      <protection locked="0"/>
    </xf>
    <xf numFmtId="7" fontId="8" fillId="0" borderId="10" xfId="0" applyNumberFormat="1" applyFont="1" applyFill="1" applyBorder="1" applyAlignment="1" applyProtection="1">
      <alignment horizontal="right" vertical="center"/>
      <protection locked="0"/>
    </xf>
    <xf numFmtId="8" fontId="8" fillId="0" borderId="11" xfId="44" applyNumberFormat="1" applyFont="1" applyFill="1" applyBorder="1" applyAlignment="1" applyProtection="1">
      <alignment horizontal="right" vertical="center"/>
      <protection locked="0"/>
    </xf>
    <xf numFmtId="7" fontId="8" fillId="0" borderId="11" xfId="0" applyNumberFormat="1" applyFont="1" applyFill="1" applyBorder="1" applyAlignment="1" applyProtection="1">
      <alignment horizontal="right" vertical="center"/>
      <protection locked="0"/>
    </xf>
    <xf numFmtId="7" fontId="8" fillId="0" borderId="12" xfId="0" applyNumberFormat="1" applyFont="1" applyFill="1" applyBorder="1" applyAlignment="1" applyProtection="1">
      <alignment horizontal="right" vertical="center"/>
      <protection locked="0"/>
    </xf>
    <xf numFmtId="7" fontId="8" fillId="0" borderId="13" xfId="0" applyNumberFormat="1" applyFont="1" applyFill="1" applyBorder="1" applyAlignment="1" applyProtection="1">
      <alignment horizontal="right" vertical="center"/>
      <protection locked="0"/>
    </xf>
    <xf numFmtId="0" fontId="8" fillId="0" borderId="0" xfId="0" applyFont="1" applyAlignment="1" applyProtection="1">
      <alignment/>
      <protection/>
    </xf>
    <xf numFmtId="0" fontId="8" fillId="0" borderId="0" xfId="0" applyFont="1" applyFill="1" applyAlignment="1" applyProtection="1">
      <alignment/>
      <protection/>
    </xf>
    <xf numFmtId="0" fontId="8" fillId="0" borderId="0" xfId="0" applyFont="1" applyAlignment="1" quotePrefix="1">
      <alignment horizontal="center"/>
    </xf>
    <xf numFmtId="0" fontId="5" fillId="0" borderId="0" xfId="0" applyFont="1" applyAlignment="1" applyProtection="1">
      <alignment/>
      <protection/>
    </xf>
    <xf numFmtId="7" fontId="7" fillId="0" borderId="0" xfId="0" applyNumberFormat="1" applyFont="1" applyFill="1" applyAlignment="1" applyProtection="1">
      <alignment/>
      <protection/>
    </xf>
    <xf numFmtId="7" fontId="8" fillId="0" borderId="0" xfId="0" applyNumberFormat="1" applyFont="1" applyAlignment="1" applyProtection="1">
      <alignment/>
      <protection locked="0"/>
    </xf>
    <xf numFmtId="177" fontId="8" fillId="0" borderId="0" xfId="0" applyNumberFormat="1" applyFont="1" applyAlignment="1" applyProtection="1">
      <alignment/>
      <protection/>
    </xf>
    <xf numFmtId="7" fontId="8" fillId="0" borderId="0" xfId="0" applyNumberFormat="1" applyFont="1" applyAlignment="1" applyProtection="1">
      <alignment/>
      <protection/>
    </xf>
    <xf numFmtId="39" fontId="8" fillId="0" borderId="0" xfId="0" applyNumberFormat="1" applyFont="1" applyAlignment="1" applyProtection="1">
      <alignment/>
      <protection/>
    </xf>
    <xf numFmtId="39" fontId="9" fillId="0" borderId="0" xfId="0" applyNumberFormat="1" applyFont="1" applyAlignment="1" applyProtection="1">
      <alignment/>
      <protection locked="0"/>
    </xf>
    <xf numFmtId="44" fontId="4" fillId="0" borderId="14" xfId="0" applyNumberFormat="1" applyFont="1" applyBorder="1" applyAlignment="1" applyProtection="1">
      <alignment/>
      <protection/>
    </xf>
    <xf numFmtId="7" fontId="8" fillId="0" borderId="0" xfId="44" applyNumberFormat="1" applyFont="1" applyAlignment="1">
      <alignment/>
    </xf>
    <xf numFmtId="44" fontId="8" fillId="0" borderId="0" xfId="0" applyNumberFormat="1" applyFont="1" applyAlignment="1">
      <alignment/>
    </xf>
    <xf numFmtId="0" fontId="8" fillId="0" borderId="0" xfId="0" applyFont="1" applyAlignment="1" applyProtection="1">
      <alignment horizontal="center"/>
      <protection/>
    </xf>
    <xf numFmtId="178" fontId="8" fillId="0" borderId="0" xfId="0" applyNumberFormat="1" applyFont="1" applyBorder="1" applyAlignment="1" applyProtection="1">
      <alignment/>
      <protection/>
    </xf>
    <xf numFmtId="7" fontId="4" fillId="0" borderId="15" xfId="0" applyNumberFormat="1" applyFont="1" applyBorder="1" applyAlignment="1" applyProtection="1">
      <alignment/>
      <protection/>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xf>
    <xf numFmtId="44" fontId="0" fillId="0" borderId="0" xfId="44" applyNumberFormat="1" applyFont="1" applyBorder="1" applyAlignment="1">
      <alignment/>
    </xf>
    <xf numFmtId="0" fontId="0" fillId="0" borderId="0" xfId="0" applyFont="1" applyAlignment="1">
      <alignment/>
    </xf>
    <xf numFmtId="9" fontId="0" fillId="0" borderId="16" xfId="57" applyFont="1" applyBorder="1" applyAlignment="1">
      <alignment/>
    </xf>
    <xf numFmtId="9" fontId="0" fillId="0" borderId="16" xfId="57" applyFont="1" applyBorder="1" applyAlignment="1">
      <alignment/>
    </xf>
    <xf numFmtId="0" fontId="2" fillId="33" borderId="16" xfId="0" applyFont="1" applyFill="1" applyBorder="1" applyAlignment="1">
      <alignment horizontal="center"/>
    </xf>
    <xf numFmtId="166" fontId="0" fillId="0" borderId="16" xfId="42" applyNumberFormat="1" applyFont="1" applyBorder="1" applyAlignment="1">
      <alignment/>
    </xf>
    <xf numFmtId="0" fontId="0" fillId="0" borderId="0" xfId="0" applyFont="1" applyAlignment="1">
      <alignment/>
    </xf>
    <xf numFmtId="0" fontId="0" fillId="0" borderId="0" xfId="0" applyFont="1" applyAlignment="1">
      <alignment/>
    </xf>
    <xf numFmtId="0" fontId="0" fillId="0" borderId="16" xfId="0" applyFont="1" applyBorder="1" applyAlignment="1">
      <alignment/>
    </xf>
    <xf numFmtId="0" fontId="0" fillId="0" borderId="0" xfId="0" applyFont="1" applyAlignment="1">
      <alignment/>
    </xf>
    <xf numFmtId="38" fontId="11" fillId="0" borderId="10" xfId="0" applyNumberFormat="1" applyFont="1" applyFill="1" applyBorder="1" applyAlignment="1">
      <alignment horizontal="center" vertical="center"/>
    </xf>
    <xf numFmtId="38" fontId="8" fillId="0" borderId="10" xfId="0" applyNumberFormat="1" applyFont="1" applyFill="1" applyBorder="1" applyAlignment="1" applyProtection="1">
      <alignment horizontal="center" vertical="center"/>
      <protection locked="0"/>
    </xf>
    <xf numFmtId="0" fontId="1" fillId="0" borderId="0"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12" fillId="0" borderId="0" xfId="0" applyFont="1" applyBorder="1" applyAlignment="1">
      <alignment horizontal="center"/>
    </xf>
    <xf numFmtId="0" fontId="12" fillId="0" borderId="0" xfId="0" applyFont="1" applyBorder="1" applyAlignment="1">
      <alignment/>
    </xf>
    <xf numFmtId="7" fontId="0" fillId="33" borderId="0" xfId="44" applyNumberFormat="1" applyFont="1" applyFill="1" applyBorder="1" applyAlignment="1">
      <alignment/>
    </xf>
    <xf numFmtId="44" fontId="13" fillId="0" borderId="0" xfId="44" applyNumberFormat="1" applyFont="1" applyBorder="1" applyAlignment="1">
      <alignment/>
    </xf>
    <xf numFmtId="0" fontId="0" fillId="0" borderId="0" xfId="0" applyFont="1" applyBorder="1" applyAlignment="1">
      <alignment horizontal="right"/>
    </xf>
    <xf numFmtId="44" fontId="0" fillId="33" borderId="0" xfId="0" applyNumberFormat="1" applyFont="1" applyFill="1" applyBorder="1" applyAlignment="1">
      <alignment/>
    </xf>
    <xf numFmtId="44" fontId="0" fillId="0" borderId="0" xfId="44" applyNumberFormat="1" applyFont="1" applyBorder="1" applyAlignment="1">
      <alignment/>
    </xf>
    <xf numFmtId="0" fontId="0" fillId="0" borderId="0" xfId="0" applyFont="1" applyBorder="1" applyAlignment="1" quotePrefix="1">
      <alignment horizontal="right"/>
    </xf>
    <xf numFmtId="9" fontId="0" fillId="33" borderId="0" xfId="57" applyFont="1" applyFill="1" applyBorder="1" applyAlignment="1">
      <alignment horizontal="center"/>
    </xf>
    <xf numFmtId="44" fontId="0" fillId="33" borderId="0" xfId="0" applyNumberFormat="1" applyFont="1" applyFill="1" applyBorder="1" applyAlignment="1">
      <alignment/>
    </xf>
    <xf numFmtId="0" fontId="0" fillId="33" borderId="0" xfId="0" applyFont="1" applyFill="1" applyBorder="1" applyAlignment="1" quotePrefix="1">
      <alignment horizontal="center"/>
    </xf>
    <xf numFmtId="44" fontId="13" fillId="33" borderId="0" xfId="44" applyNumberFormat="1" applyFont="1" applyFill="1" applyBorder="1" applyAlignment="1">
      <alignment/>
    </xf>
    <xf numFmtId="0" fontId="0" fillId="0" borderId="0" xfId="0" applyFont="1" applyBorder="1" applyAlignment="1" quotePrefix="1">
      <alignment horizontal="right"/>
    </xf>
    <xf numFmtId="9" fontId="0" fillId="33" borderId="0" xfId="57" applyFont="1" applyFill="1" applyBorder="1" applyAlignment="1">
      <alignment horizontal="center"/>
    </xf>
    <xf numFmtId="0" fontId="0" fillId="33" borderId="0" xfId="0" applyFont="1" applyFill="1" applyBorder="1" applyAlignment="1" quotePrefix="1">
      <alignment horizontal="center"/>
    </xf>
    <xf numFmtId="0" fontId="0" fillId="33" borderId="0" xfId="0" applyFont="1" applyFill="1" applyBorder="1" applyAlignment="1">
      <alignment/>
    </xf>
    <xf numFmtId="166" fontId="14" fillId="0" borderId="0" xfId="42" applyNumberFormat="1" applyFont="1" applyBorder="1" applyAlignment="1">
      <alignment/>
    </xf>
    <xf numFmtId="0" fontId="1" fillId="34" borderId="0" xfId="0" applyFont="1" applyFill="1" applyBorder="1" applyAlignment="1">
      <alignment/>
    </xf>
    <xf numFmtId="0" fontId="0" fillId="0" borderId="0" xfId="0" applyFont="1" applyBorder="1" applyAlignment="1">
      <alignment horizontal="center"/>
    </xf>
    <xf numFmtId="0" fontId="0" fillId="0" borderId="0" xfId="0" applyFont="1" applyBorder="1" applyAlignment="1" quotePrefix="1">
      <alignment horizontal="center"/>
    </xf>
    <xf numFmtId="0" fontId="16" fillId="0" borderId="0" xfId="0" applyFont="1" applyBorder="1" applyAlignment="1">
      <alignment/>
    </xf>
    <xf numFmtId="0" fontId="0" fillId="0" borderId="0" xfId="0" applyFont="1" applyBorder="1" applyAlignment="1" quotePrefix="1">
      <alignment horizontal="center"/>
    </xf>
    <xf numFmtId="0" fontId="0" fillId="0" borderId="0" xfId="0" applyFont="1" applyBorder="1" applyAlignment="1">
      <alignment/>
    </xf>
    <xf numFmtId="44" fontId="13" fillId="33" borderId="0" xfId="0" applyNumberFormat="1" applyFont="1" applyFill="1" applyBorder="1" applyAlignment="1">
      <alignment/>
    </xf>
    <xf numFmtId="0" fontId="0" fillId="0" borderId="0" xfId="0" applyFont="1" applyBorder="1" applyAlignment="1">
      <alignment horizontal="center"/>
    </xf>
    <xf numFmtId="166" fontId="0" fillId="33" borderId="0" xfId="42" applyNumberFormat="1" applyFont="1" applyFill="1" applyBorder="1" applyAlignment="1">
      <alignment/>
    </xf>
    <xf numFmtId="0" fontId="0" fillId="0" borderId="0" xfId="0" applyFont="1" applyBorder="1" applyAlignment="1" quotePrefix="1">
      <alignment horizontal="center"/>
    </xf>
    <xf numFmtId="172" fontId="0" fillId="33" borderId="0" xfId="44" applyNumberFormat="1" applyFont="1" applyFill="1" applyBorder="1" applyAlignment="1">
      <alignment/>
    </xf>
    <xf numFmtId="0" fontId="0" fillId="0" borderId="0" xfId="0" applyFont="1" applyFill="1" applyBorder="1" applyAlignment="1">
      <alignment/>
    </xf>
    <xf numFmtId="170" fontId="0" fillId="0" borderId="0" xfId="44" applyNumberFormat="1" applyFont="1" applyBorder="1" applyAlignment="1">
      <alignment/>
    </xf>
    <xf numFmtId="0" fontId="0" fillId="34" borderId="0" xfId="0" applyFont="1" applyFill="1" applyBorder="1" applyAlignment="1">
      <alignment/>
    </xf>
    <xf numFmtId="0" fontId="0" fillId="0" borderId="0" xfId="0" applyFont="1" applyFill="1" applyBorder="1" applyAlignment="1">
      <alignment/>
    </xf>
    <xf numFmtId="166" fontId="0" fillId="33" borderId="0" xfId="0" applyNumberFormat="1" applyFont="1" applyFill="1" applyBorder="1" applyAlignment="1">
      <alignment/>
    </xf>
    <xf numFmtId="44" fontId="0" fillId="33" borderId="0" xfId="44" applyNumberFormat="1" applyFont="1" applyFill="1" applyBorder="1" applyAlignment="1">
      <alignment/>
    </xf>
    <xf numFmtId="0" fontId="0" fillId="0" borderId="0" xfId="0" applyFont="1" applyFill="1" applyBorder="1" applyAlignment="1" quotePrefix="1">
      <alignment horizontal="center"/>
    </xf>
    <xf numFmtId="44" fontId="13" fillId="0" borderId="0" xfId="0" applyNumberFormat="1" applyFont="1" applyFill="1" applyBorder="1" applyAlignment="1">
      <alignment/>
    </xf>
    <xf numFmtId="172" fontId="0" fillId="0" borderId="0" xfId="0" applyNumberFormat="1" applyFont="1" applyBorder="1" applyAlignment="1">
      <alignment/>
    </xf>
    <xf numFmtId="0" fontId="0" fillId="0" borderId="0" xfId="0" applyFont="1" applyBorder="1" applyAlignment="1" quotePrefix="1">
      <alignment horizontal="center"/>
    </xf>
    <xf numFmtId="44" fontId="0" fillId="33" borderId="0" xfId="44" applyFont="1" applyFill="1" applyBorder="1" applyAlignment="1">
      <alignment/>
    </xf>
    <xf numFmtId="0" fontId="15" fillId="0" borderId="0" xfId="0" applyFont="1" applyBorder="1" applyAlignment="1">
      <alignment/>
    </xf>
    <xf numFmtId="0" fontId="0" fillId="0" borderId="0" xfId="0" applyFont="1" applyBorder="1" applyAlignment="1">
      <alignment horizontal="right"/>
    </xf>
    <xf numFmtId="166" fontId="0" fillId="0" borderId="0" xfId="42" applyNumberFormat="1" applyFont="1" applyBorder="1" applyAlignment="1">
      <alignment/>
    </xf>
    <xf numFmtId="0" fontId="0" fillId="33" borderId="0" xfId="0" applyFont="1" applyFill="1" applyBorder="1" applyAlignment="1">
      <alignment/>
    </xf>
    <xf numFmtId="0" fontId="0" fillId="0" borderId="0" xfId="0" applyFont="1" applyBorder="1" applyAlignment="1">
      <alignment horizontal="right"/>
    </xf>
    <xf numFmtId="166" fontId="0" fillId="0" borderId="0" xfId="42" applyNumberFormat="1" applyFont="1" applyBorder="1" applyAlignment="1">
      <alignment/>
    </xf>
    <xf numFmtId="0" fontId="0" fillId="0" borderId="0" xfId="0" applyFont="1" applyBorder="1" applyAlignment="1">
      <alignment horizontal="right"/>
    </xf>
    <xf numFmtId="0" fontId="0" fillId="0" borderId="0" xfId="0" applyFont="1" applyBorder="1" applyAlignment="1" quotePrefix="1">
      <alignment horizontal="center"/>
    </xf>
    <xf numFmtId="0" fontId="0" fillId="0" borderId="0" xfId="0" applyFont="1" applyBorder="1" applyAlignment="1">
      <alignment horizontal="right"/>
    </xf>
    <xf numFmtId="44" fontId="0" fillId="33" borderId="0" xfId="44" applyFont="1" applyFill="1" applyBorder="1" applyAlignment="1">
      <alignment/>
    </xf>
    <xf numFmtId="8" fontId="0" fillId="33" borderId="0" xfId="0" applyNumberFormat="1" applyFont="1" applyFill="1" applyBorder="1" applyAlignment="1">
      <alignment/>
    </xf>
    <xf numFmtId="0" fontId="4" fillId="0" borderId="0" xfId="0" applyFont="1" applyAlignment="1">
      <alignment horizontal="center"/>
    </xf>
    <xf numFmtId="0" fontId="8" fillId="0" borderId="0" xfId="0" applyFont="1" applyAlignment="1">
      <alignment horizontal="center"/>
    </xf>
    <xf numFmtId="8" fontId="8" fillId="0" borderId="0" xfId="44" applyNumberFormat="1" applyFont="1" applyFill="1" applyBorder="1" applyAlignment="1" applyProtection="1">
      <alignment horizontal="right" vertical="center"/>
      <protection locked="0"/>
    </xf>
    <xf numFmtId="38" fontId="11" fillId="0" borderId="0" xfId="0" applyNumberFormat="1" applyFont="1" applyFill="1" applyBorder="1" applyAlignment="1">
      <alignment horizontal="center" vertical="center"/>
    </xf>
    <xf numFmtId="0" fontId="0" fillId="0" borderId="0" xfId="0" applyFont="1" applyBorder="1" applyAlignment="1">
      <alignment wrapText="1"/>
    </xf>
    <xf numFmtId="0" fontId="0" fillId="0" borderId="17" xfId="0" applyFont="1" applyBorder="1" applyAlignment="1">
      <alignment/>
    </xf>
    <xf numFmtId="0" fontId="0" fillId="0" borderId="17" xfId="0" applyFont="1" applyBorder="1" applyAlignment="1">
      <alignment/>
    </xf>
    <xf numFmtId="0" fontId="0" fillId="0" borderId="17" xfId="0" applyFont="1" applyBorder="1" applyAlignment="1">
      <alignment wrapText="1"/>
    </xf>
    <xf numFmtId="0" fontId="0" fillId="0" borderId="17" xfId="0" applyFont="1" applyBorder="1" applyAlignment="1">
      <alignment/>
    </xf>
    <xf numFmtId="0" fontId="0" fillId="0" borderId="17" xfId="0" applyFont="1" applyBorder="1" applyAlignment="1">
      <alignment/>
    </xf>
    <xf numFmtId="0" fontId="0" fillId="0" borderId="17" xfId="0" applyFont="1" applyBorder="1" applyAlignment="1">
      <alignment/>
    </xf>
    <xf numFmtId="0" fontId="1" fillId="0" borderId="17" xfId="0" applyFont="1" applyBorder="1" applyAlignment="1">
      <alignment/>
    </xf>
    <xf numFmtId="0" fontId="14" fillId="0" borderId="17" xfId="0" applyFont="1" applyBorder="1" applyAlignment="1">
      <alignment/>
    </xf>
    <xf numFmtId="0" fontId="0" fillId="0" borderId="17" xfId="0" applyFont="1" applyBorder="1" applyAlignment="1">
      <alignment/>
    </xf>
    <xf numFmtId="0" fontId="0" fillId="0" borderId="17" xfId="0" applyFont="1" applyBorder="1" applyAlignment="1">
      <alignment/>
    </xf>
    <xf numFmtId="0" fontId="0" fillId="0" borderId="17" xfId="0" applyFont="1" applyBorder="1" applyAlignment="1">
      <alignment/>
    </xf>
    <xf numFmtId="0" fontId="0" fillId="0" borderId="17" xfId="0" applyFont="1" applyFill="1" applyBorder="1" applyAlignment="1">
      <alignment/>
    </xf>
    <xf numFmtId="0" fontId="0" fillId="0" borderId="17" xfId="0" applyFont="1" applyBorder="1" applyAlignment="1">
      <alignment/>
    </xf>
    <xf numFmtId="0" fontId="0" fillId="0" borderId="17" xfId="0" applyFont="1" applyBorder="1" applyAlignment="1">
      <alignment/>
    </xf>
    <xf numFmtId="0" fontId="0" fillId="0" borderId="17" xfId="0" applyFont="1" applyBorder="1" applyAlignment="1">
      <alignment wrapText="1"/>
    </xf>
    <xf numFmtId="173" fontId="0" fillId="0" borderId="0" xfId="0" applyNumberFormat="1" applyFont="1" applyFill="1" applyBorder="1" applyAlignment="1">
      <alignment horizontal="right"/>
    </xf>
    <xf numFmtId="173" fontId="0" fillId="33" borderId="0" xfId="0" applyNumberFormat="1" applyFont="1" applyFill="1" applyBorder="1" applyAlignment="1">
      <alignment horizontal="left"/>
    </xf>
    <xf numFmtId="0" fontId="0" fillId="0" borderId="0" xfId="0" applyFont="1" applyFill="1" applyBorder="1" applyAlignment="1">
      <alignment/>
    </xf>
    <xf numFmtId="43" fontId="0" fillId="33" borderId="0" xfId="0" applyNumberFormat="1" applyFont="1" applyFill="1" applyBorder="1" applyAlignment="1">
      <alignment/>
    </xf>
    <xf numFmtId="0" fontId="0" fillId="0" borderId="0" xfId="0" applyAlignment="1">
      <alignment wrapText="1"/>
    </xf>
    <xf numFmtId="0" fontId="1" fillId="0" borderId="0" xfId="0" applyFont="1" applyAlignment="1">
      <alignment wrapText="1"/>
    </xf>
    <xf numFmtId="0" fontId="20" fillId="0" borderId="0" xfId="0" applyFont="1" applyAlignment="1">
      <alignment horizontal="center"/>
    </xf>
    <xf numFmtId="0" fontId="21" fillId="0" borderId="0" xfId="0" applyFont="1" applyAlignment="1">
      <alignment/>
    </xf>
    <xf numFmtId="0" fontId="0" fillId="35" borderId="0" xfId="0" applyFill="1" applyAlignment="1">
      <alignment/>
    </xf>
    <xf numFmtId="0" fontId="0" fillId="36" borderId="0" xfId="0" applyFill="1" applyAlignment="1">
      <alignment/>
    </xf>
    <xf numFmtId="0" fontId="21" fillId="0" borderId="0" xfId="0" applyFont="1" applyAlignment="1">
      <alignment wrapText="1"/>
    </xf>
    <xf numFmtId="0" fontId="14" fillId="0" borderId="0" xfId="0" applyFont="1" applyBorder="1" applyAlignment="1">
      <alignment wrapText="1"/>
    </xf>
    <xf numFmtId="0" fontId="0" fillId="0" borderId="0" xfId="0"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wrapText="1"/>
    </xf>
    <xf numFmtId="0" fontId="0" fillId="0" borderId="18" xfId="0" applyFont="1" applyBorder="1" applyAlignment="1">
      <alignment wrapText="1"/>
    </xf>
    <xf numFmtId="0" fontId="0" fillId="0" borderId="0" xfId="0" applyAlignment="1">
      <alignment wrapText="1"/>
    </xf>
    <xf numFmtId="0" fontId="0" fillId="0" borderId="18" xfId="0" applyBorder="1" applyAlignment="1">
      <alignment wrapText="1"/>
    </xf>
    <xf numFmtId="0" fontId="19" fillId="0" borderId="0" xfId="0" applyFont="1" applyBorder="1" applyAlignment="1">
      <alignment vertical="top" wrapText="1"/>
    </xf>
    <xf numFmtId="8"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Alignment="1">
      <alignment/>
    </xf>
    <xf numFmtId="0" fontId="2" fillId="0" borderId="0" xfId="0" applyFont="1" applyAlignment="1">
      <alignment wrapText="1"/>
    </xf>
    <xf numFmtId="0" fontId="1" fillId="0" borderId="0" xfId="0" applyFont="1" applyAlignment="1">
      <alignment wrapText="1"/>
    </xf>
    <xf numFmtId="0" fontId="0" fillId="0" borderId="0" xfId="0" applyFont="1" applyFill="1" applyBorder="1" applyAlignment="1">
      <alignment wrapText="1"/>
    </xf>
    <xf numFmtId="0" fontId="1" fillId="34" borderId="0" xfId="0" applyFont="1" applyFill="1" applyBorder="1" applyAlignment="1">
      <alignment wrapText="1"/>
    </xf>
    <xf numFmtId="0" fontId="0" fillId="34" borderId="0" xfId="0" applyFont="1" applyFill="1" applyBorder="1" applyAlignment="1">
      <alignment wrapText="1"/>
    </xf>
    <xf numFmtId="0" fontId="0" fillId="34" borderId="0" xfId="0" applyFont="1" applyFill="1" applyBorder="1" applyAlignment="1">
      <alignment wrapText="1"/>
    </xf>
    <xf numFmtId="0" fontId="1" fillId="0" borderId="0" xfId="0" applyFont="1" applyBorder="1" applyAlignment="1">
      <alignment horizontal="center" wrapText="1"/>
    </xf>
    <xf numFmtId="0" fontId="0" fillId="0" borderId="0" xfId="0" applyFont="1" applyBorder="1" applyAlignment="1">
      <alignment horizontal="center" wrapText="1"/>
    </xf>
    <xf numFmtId="0" fontId="4" fillId="0" borderId="0" xfId="0" applyFont="1" applyBorder="1" applyAlignment="1">
      <alignment horizontal="center"/>
    </xf>
    <xf numFmtId="0" fontId="0" fillId="0" borderId="0" xfId="0" applyAlignment="1">
      <alignment/>
    </xf>
    <xf numFmtId="0" fontId="1" fillId="34" borderId="0" xfId="0" applyFont="1" applyFill="1" applyBorder="1" applyAlignment="1">
      <alignment horizontal="center"/>
    </xf>
    <xf numFmtId="0" fontId="0" fillId="0" borderId="0" xfId="0" applyFont="1" applyBorder="1" applyAlignment="1">
      <alignment horizontal="center"/>
    </xf>
    <xf numFmtId="0" fontId="1" fillId="34" borderId="0" xfId="0" applyFont="1" applyFill="1" applyBorder="1" applyAlignment="1" quotePrefix="1">
      <alignment/>
    </xf>
    <xf numFmtId="0" fontId="0" fillId="34" borderId="0" xfId="0" applyFont="1" applyFill="1" applyBorder="1" applyAlignment="1">
      <alignment/>
    </xf>
    <xf numFmtId="0" fontId="1" fillId="0" borderId="0" xfId="0" applyFont="1" applyBorder="1" applyAlignment="1">
      <alignment wrapText="1"/>
    </xf>
    <xf numFmtId="0" fontId="0" fillId="0" borderId="0" xfId="0" applyFont="1" applyBorder="1" applyAlignment="1">
      <alignment wrapText="1"/>
    </xf>
    <xf numFmtId="0" fontId="14" fillId="0" borderId="0" xfId="0" applyFont="1" applyBorder="1" applyAlignment="1">
      <alignment vertical="center" wrapText="1"/>
    </xf>
    <xf numFmtId="0" fontId="1" fillId="0" borderId="0" xfId="0" applyFont="1" applyBorder="1" applyAlignment="1">
      <alignment vertical="center" wrapText="1"/>
    </xf>
    <xf numFmtId="38" fontId="8" fillId="0" borderId="11" xfId="0"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2" xfId="0" applyBorder="1" applyAlignment="1">
      <alignment horizontal="center" vertical="center"/>
    </xf>
    <xf numFmtId="0" fontId="4" fillId="0" borderId="0"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38" fontId="11" fillId="0"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8" fontId="11" fillId="0" borderId="11" xfId="0" applyNumberFormat="1" applyFont="1" applyFill="1" applyBorder="1" applyAlignment="1">
      <alignment horizontal="center" vertical="center"/>
    </xf>
    <xf numFmtId="38" fontId="8" fillId="0" borderId="0" xfId="0" applyNumberFormat="1" applyFont="1" applyBorder="1" applyAlignment="1">
      <alignment wrapText="1"/>
    </xf>
    <xf numFmtId="0" fontId="8" fillId="0" borderId="0" xfId="0" applyFont="1" applyAlignment="1">
      <alignment wrapText="1"/>
    </xf>
    <xf numFmtId="0" fontId="4" fillId="0" borderId="0" xfId="0" applyFont="1" applyAlignment="1">
      <alignment horizontal="center"/>
    </xf>
    <xf numFmtId="0" fontId="8"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2305050</xdr:colOff>
      <xdr:row>0</xdr:row>
      <xdr:rowOff>95250</xdr:rowOff>
    </xdr:from>
    <xdr:to>
      <xdr:col>1</xdr:col>
      <xdr:colOff>4314825</xdr:colOff>
      <xdr:row>0</xdr:row>
      <xdr:rowOff>609600</xdr:rowOff>
    </xdr:to>
    <xdr:pic>
      <xdr:nvPicPr>
        <xdr:cNvPr id="1" name="Picture 1"/>
        <xdr:cNvPicPr preferRelativeResize="1">
          <a:picLocks noChangeAspect="1"/>
        </xdr:cNvPicPr>
      </xdr:nvPicPr>
      <xdr:blipFill>
        <a:blip r:embed="rId1"/>
        <a:stretch>
          <a:fillRect/>
        </a:stretch>
      </xdr:blipFill>
      <xdr:spPr>
        <a:xfrm>
          <a:off x="2486025" y="95250"/>
          <a:ext cx="20097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B42"/>
  <sheetViews>
    <sheetView tabSelected="1" zoomScalePageLayoutView="0" workbookViewId="0" topLeftCell="A1">
      <selection activeCell="B2" sqref="B2"/>
    </sheetView>
  </sheetViews>
  <sheetFormatPr defaultColWidth="9.140625" defaultRowHeight="12.75"/>
  <cols>
    <col min="1" max="1" width="2.7109375" style="171" customWidth="1"/>
    <col min="2" max="2" width="100.57421875" style="0" customWidth="1"/>
    <col min="3" max="18" width="9.140625" style="171" customWidth="1"/>
    <col min="19" max="19" width="9.140625" style="170" customWidth="1"/>
  </cols>
  <sheetData>
    <row r="1" ht="54" customHeight="1"/>
    <row r="2" ht="25.5" customHeight="1">
      <c r="B2" s="168" t="s">
        <v>186</v>
      </c>
    </row>
    <row r="3" ht="12.75" customHeight="1">
      <c r="B3" s="168"/>
    </row>
    <row r="4" ht="63.75">
      <c r="B4" s="166" t="s">
        <v>189</v>
      </c>
    </row>
    <row r="6" ht="63" customHeight="1">
      <c r="B6" s="167" t="s">
        <v>168</v>
      </c>
    </row>
    <row r="8" ht="102.75" customHeight="1">
      <c r="B8" s="166" t="s">
        <v>187</v>
      </c>
    </row>
    <row r="10" ht="18">
      <c r="B10" s="169" t="s">
        <v>169</v>
      </c>
    </row>
    <row r="12" ht="102.75" customHeight="1">
      <c r="B12" s="166" t="s">
        <v>171</v>
      </c>
    </row>
    <row r="14" ht="105" customHeight="1">
      <c r="B14" s="166" t="s">
        <v>174</v>
      </c>
    </row>
    <row r="16" ht="63" customHeight="1">
      <c r="B16" s="166" t="s">
        <v>170</v>
      </c>
    </row>
    <row r="18" ht="102">
      <c r="B18" s="166" t="s">
        <v>172</v>
      </c>
    </row>
    <row r="20" ht="63.75">
      <c r="B20" s="166" t="s">
        <v>173</v>
      </c>
    </row>
    <row r="22" ht="102">
      <c r="B22" s="166" t="s">
        <v>176</v>
      </c>
    </row>
    <row r="24" ht="90" customHeight="1">
      <c r="B24" s="166" t="s">
        <v>177</v>
      </c>
    </row>
    <row r="26" ht="64.5" customHeight="1">
      <c r="B26" s="166" t="s">
        <v>178</v>
      </c>
    </row>
    <row r="28" ht="18">
      <c r="B28" s="172" t="s">
        <v>179</v>
      </c>
    </row>
    <row r="30" ht="89.25">
      <c r="B30" s="166" t="s">
        <v>180</v>
      </c>
    </row>
    <row r="32" ht="51">
      <c r="B32" s="166" t="s">
        <v>181</v>
      </c>
    </row>
    <row r="34" ht="18">
      <c r="B34" s="169" t="s">
        <v>185</v>
      </c>
    </row>
    <row r="36" ht="76.5">
      <c r="B36" s="166" t="s">
        <v>182</v>
      </c>
    </row>
    <row r="38" ht="63.75" customHeight="1">
      <c r="B38" s="167" t="s">
        <v>183</v>
      </c>
    </row>
    <row r="40" ht="18">
      <c r="B40" s="169" t="s">
        <v>184</v>
      </c>
    </row>
    <row r="42" ht="25.5">
      <c r="B42" s="166" t="s">
        <v>188</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356"/>
  <sheetViews>
    <sheetView showGridLines="0" zoomScalePageLayoutView="0" workbookViewId="0" topLeftCell="A205">
      <selection activeCell="A1" sqref="A1:G1"/>
    </sheetView>
  </sheetViews>
  <sheetFormatPr defaultColWidth="9.140625" defaultRowHeight="12.75"/>
  <cols>
    <col min="1" max="1" width="32.8515625" style="62" customWidth="1"/>
    <col min="2" max="2" width="14.8515625" style="62" customWidth="1"/>
    <col min="3" max="3" width="9.140625" style="62" customWidth="1"/>
    <col min="4" max="4" width="17.140625" style="62" customWidth="1"/>
    <col min="5" max="5" width="2.421875" style="62" customWidth="1"/>
    <col min="6" max="6" width="14.140625" style="62" bestFit="1" customWidth="1"/>
    <col min="7" max="7" width="15.00390625" style="62" customWidth="1"/>
    <col min="8" max="8" width="14.8515625" style="150" customWidth="1"/>
    <col min="9" max="16384" width="9.140625" style="62" customWidth="1"/>
  </cols>
  <sheetData>
    <row r="1" spans="1:8" s="59" customFormat="1" ht="26.25" customHeight="1">
      <c r="A1" s="195" t="s">
        <v>157</v>
      </c>
      <c r="B1" s="196"/>
      <c r="C1" s="196"/>
      <c r="D1" s="196"/>
      <c r="E1" s="196"/>
      <c r="F1" s="196"/>
      <c r="G1" s="196"/>
      <c r="H1" s="147"/>
    </row>
    <row r="2" spans="1:9" ht="12.75">
      <c r="A2" s="178" t="s">
        <v>83</v>
      </c>
      <c r="B2" s="176"/>
      <c r="C2" s="176"/>
      <c r="D2" s="176"/>
      <c r="E2" s="176"/>
      <c r="F2" s="176"/>
      <c r="G2" s="176"/>
      <c r="H2" s="148"/>
      <c r="I2" s="61"/>
    </row>
    <row r="3" spans="1:9" ht="12.75">
      <c r="A3" s="176"/>
      <c r="B3" s="176"/>
      <c r="C3" s="176"/>
      <c r="D3" s="176"/>
      <c r="E3" s="176"/>
      <c r="F3" s="176"/>
      <c r="G3" s="176"/>
      <c r="H3" s="148"/>
      <c r="I3" s="61"/>
    </row>
    <row r="4" spans="1:9" ht="12.75">
      <c r="A4" s="176"/>
      <c r="B4" s="176"/>
      <c r="C4" s="176"/>
      <c r="D4" s="176"/>
      <c r="E4" s="176"/>
      <c r="F4" s="176"/>
      <c r="G4" s="176"/>
      <c r="H4" s="148"/>
      <c r="I4" s="61"/>
    </row>
    <row r="5" spans="1:9" ht="12.75">
      <c r="A5" s="176"/>
      <c r="B5" s="176"/>
      <c r="C5" s="176"/>
      <c r="D5" s="176"/>
      <c r="E5" s="176"/>
      <c r="F5" s="176"/>
      <c r="G5" s="176"/>
      <c r="H5" s="148"/>
      <c r="I5" s="61"/>
    </row>
    <row r="6" spans="1:9" ht="12.75">
      <c r="A6" s="176"/>
      <c r="B6" s="176"/>
      <c r="C6" s="176"/>
      <c r="D6" s="176"/>
      <c r="E6" s="176"/>
      <c r="F6" s="176"/>
      <c r="G6" s="176"/>
      <c r="H6" s="148"/>
      <c r="I6" s="61"/>
    </row>
    <row r="7" spans="1:9" ht="12.75">
      <c r="A7" s="176"/>
      <c r="B7" s="176"/>
      <c r="C7" s="176"/>
      <c r="D7" s="176"/>
      <c r="E7" s="176"/>
      <c r="F7" s="176"/>
      <c r="G7" s="176"/>
      <c r="H7" s="148"/>
      <c r="I7" s="61"/>
    </row>
    <row r="8" spans="1:9" ht="12.75">
      <c r="A8" s="176"/>
      <c r="B8" s="176"/>
      <c r="C8" s="176"/>
      <c r="D8" s="176"/>
      <c r="E8" s="176"/>
      <c r="F8" s="176"/>
      <c r="G8" s="176"/>
      <c r="H8" s="148"/>
      <c r="I8" s="61"/>
    </row>
    <row r="9" spans="1:9" ht="12.75">
      <c r="A9" s="176"/>
      <c r="B9" s="176"/>
      <c r="C9" s="176"/>
      <c r="D9" s="176"/>
      <c r="E9" s="176"/>
      <c r="F9" s="176"/>
      <c r="G9" s="176"/>
      <c r="H9" s="148"/>
      <c r="I9" s="61"/>
    </row>
    <row r="10" spans="1:9" ht="12.75">
      <c r="A10" s="77"/>
      <c r="B10" s="77"/>
      <c r="C10" s="77"/>
      <c r="D10" s="77"/>
      <c r="E10" s="77"/>
      <c r="F10" s="77"/>
      <c r="G10" s="77"/>
      <c r="H10" s="149"/>
      <c r="I10" s="60"/>
    </row>
    <row r="11" spans="1:7" ht="12.75">
      <c r="A11" s="84"/>
      <c r="B11" s="84"/>
      <c r="C11" s="84"/>
      <c r="D11" s="84"/>
      <c r="E11" s="84"/>
      <c r="F11" s="84"/>
      <c r="G11" s="84"/>
    </row>
    <row r="12" spans="1:9" ht="12.75">
      <c r="A12" s="190" t="s">
        <v>120</v>
      </c>
      <c r="B12" s="191"/>
      <c r="C12" s="191"/>
      <c r="D12" s="191"/>
      <c r="E12" s="191"/>
      <c r="F12" s="191"/>
      <c r="G12" s="191"/>
      <c r="H12" s="148"/>
      <c r="I12" s="61"/>
    </row>
    <row r="13" spans="1:9" ht="12.75">
      <c r="A13" s="191"/>
      <c r="B13" s="191"/>
      <c r="C13" s="191"/>
      <c r="D13" s="191"/>
      <c r="E13" s="191"/>
      <c r="F13" s="191"/>
      <c r="G13" s="191"/>
      <c r="H13" s="148"/>
      <c r="I13" s="61"/>
    </row>
    <row r="14" spans="1:9" ht="12.75">
      <c r="A14" s="77"/>
      <c r="B14" s="77"/>
      <c r="C14" s="77"/>
      <c r="D14" s="77"/>
      <c r="E14" s="77"/>
      <c r="F14" s="77"/>
      <c r="G14" s="77"/>
      <c r="H14" s="148"/>
      <c r="I14" s="61"/>
    </row>
    <row r="15" spans="1:7" ht="12.75">
      <c r="A15" s="84"/>
      <c r="B15" s="84"/>
      <c r="C15" s="84"/>
      <c r="D15" s="76" t="s">
        <v>8</v>
      </c>
      <c r="E15" s="84"/>
      <c r="F15" s="84"/>
      <c r="G15" s="84"/>
    </row>
    <row r="16" spans="1:8" s="63" customFormat="1" ht="12.75">
      <c r="A16" s="92" t="s">
        <v>0</v>
      </c>
      <c r="B16" s="85"/>
      <c r="C16" s="85"/>
      <c r="D16" s="92" t="s">
        <v>7</v>
      </c>
      <c r="E16" s="93"/>
      <c r="F16" s="85"/>
      <c r="G16" s="85"/>
      <c r="H16" s="151"/>
    </row>
    <row r="17" spans="1:8" s="63" customFormat="1" ht="12.75">
      <c r="A17" s="85" t="s">
        <v>1</v>
      </c>
      <c r="B17" s="85"/>
      <c r="C17" s="85"/>
      <c r="D17" s="64">
        <v>2400</v>
      </c>
      <c r="E17" s="85"/>
      <c r="F17" s="85"/>
      <c r="G17" s="85"/>
      <c r="H17" s="151"/>
    </row>
    <row r="18" spans="1:8" s="63" customFormat="1" ht="12.75">
      <c r="A18" s="85" t="s">
        <v>2</v>
      </c>
      <c r="B18" s="85"/>
      <c r="C18" s="85"/>
      <c r="D18" s="64">
        <v>1400</v>
      </c>
      <c r="E18" s="85"/>
      <c r="F18" s="85"/>
      <c r="G18" s="85"/>
      <c r="H18" s="151"/>
    </row>
    <row r="19" spans="1:8" s="63" customFormat="1" ht="12.75">
      <c r="A19" s="85" t="s">
        <v>3</v>
      </c>
      <c r="B19" s="85"/>
      <c r="C19" s="85"/>
      <c r="D19" s="64">
        <v>5000</v>
      </c>
      <c r="E19" s="85"/>
      <c r="F19" s="85"/>
      <c r="G19" s="85"/>
      <c r="H19" s="151"/>
    </row>
    <row r="20" spans="1:8" s="63" customFormat="1" ht="12.75">
      <c r="A20" s="85" t="s">
        <v>4</v>
      </c>
      <c r="B20" s="85"/>
      <c r="C20" s="85"/>
      <c r="D20" s="64">
        <v>7500</v>
      </c>
      <c r="E20" s="85"/>
      <c r="F20" s="85"/>
      <c r="G20" s="85"/>
      <c r="H20" s="151"/>
    </row>
    <row r="21" spans="1:8" s="63" customFormat="1" ht="12.75">
      <c r="A21" s="85" t="s">
        <v>155</v>
      </c>
      <c r="B21" s="85"/>
      <c r="C21" s="85"/>
      <c r="D21" s="64">
        <v>1800</v>
      </c>
      <c r="E21" s="85"/>
      <c r="F21" s="85"/>
      <c r="G21" s="85"/>
      <c r="H21" s="151"/>
    </row>
    <row r="22" spans="1:8" s="63" customFormat="1" ht="12.75">
      <c r="A22" s="85" t="s">
        <v>5</v>
      </c>
      <c r="B22" s="85"/>
      <c r="C22" s="85"/>
      <c r="D22" s="94">
        <f>'Annual Replacement Annuity'!J47</f>
        <v>1306.4</v>
      </c>
      <c r="E22" s="85"/>
      <c r="F22" s="85"/>
      <c r="G22" s="85"/>
      <c r="H22" s="151"/>
    </row>
    <row r="23" spans="1:8" s="63" customFormat="1" ht="12.75">
      <c r="A23" s="85" t="s">
        <v>54</v>
      </c>
      <c r="B23" s="85"/>
      <c r="C23" s="85"/>
      <c r="D23" s="64">
        <v>16000</v>
      </c>
      <c r="E23" s="85"/>
      <c r="F23" s="85"/>
      <c r="G23" s="85"/>
      <c r="H23" s="151"/>
    </row>
    <row r="24" spans="1:8" s="63" customFormat="1" ht="12.75">
      <c r="A24" s="85" t="s">
        <v>6</v>
      </c>
      <c r="B24" s="85"/>
      <c r="C24" s="85"/>
      <c r="D24" s="64">
        <v>1200</v>
      </c>
      <c r="E24" s="85"/>
      <c r="F24" s="85"/>
      <c r="G24" s="85"/>
      <c r="H24" s="151"/>
    </row>
    <row r="25" spans="1:8" s="63" customFormat="1" ht="12.75">
      <c r="A25" s="85" t="s">
        <v>21</v>
      </c>
      <c r="B25" s="85"/>
      <c r="C25" s="85"/>
      <c r="D25" s="64">
        <v>0</v>
      </c>
      <c r="E25" s="85"/>
      <c r="F25" s="85"/>
      <c r="G25" s="85"/>
      <c r="H25" s="151"/>
    </row>
    <row r="26" spans="1:8" s="63" customFormat="1" ht="12.75">
      <c r="A26" s="85" t="s">
        <v>154</v>
      </c>
      <c r="B26" s="85"/>
      <c r="C26" s="85"/>
      <c r="D26" s="64">
        <v>0</v>
      </c>
      <c r="E26" s="85"/>
      <c r="F26" s="85"/>
      <c r="G26" s="85"/>
      <c r="H26" s="151"/>
    </row>
    <row r="27" spans="1:8" s="63" customFormat="1" ht="12.75">
      <c r="A27" s="85" t="s">
        <v>154</v>
      </c>
      <c r="B27" s="85"/>
      <c r="C27" s="85"/>
      <c r="D27" s="64">
        <v>0</v>
      </c>
      <c r="E27" s="85"/>
      <c r="F27" s="85"/>
      <c r="G27" s="85"/>
      <c r="H27" s="151"/>
    </row>
    <row r="28" spans="1:8" s="63" customFormat="1" ht="12.75">
      <c r="A28" s="85" t="s">
        <v>154</v>
      </c>
      <c r="B28" s="85"/>
      <c r="C28" s="85"/>
      <c r="D28" s="64">
        <v>0</v>
      </c>
      <c r="E28" s="85"/>
      <c r="F28" s="85"/>
      <c r="G28" s="85"/>
      <c r="H28" s="151"/>
    </row>
    <row r="29" spans="1:8" s="63" customFormat="1" ht="12.75">
      <c r="A29" s="85" t="s">
        <v>154</v>
      </c>
      <c r="B29" s="85"/>
      <c r="C29" s="85"/>
      <c r="D29" s="64">
        <v>0</v>
      </c>
      <c r="E29" s="85"/>
      <c r="F29" s="85"/>
      <c r="G29" s="85"/>
      <c r="H29" s="151"/>
    </row>
    <row r="30" spans="1:8" s="63" customFormat="1" ht="12.75">
      <c r="A30" s="85" t="s">
        <v>154</v>
      </c>
      <c r="B30" s="85"/>
      <c r="C30" s="85"/>
      <c r="D30" s="64">
        <v>0</v>
      </c>
      <c r="E30" s="85"/>
      <c r="F30" s="85"/>
      <c r="G30" s="85"/>
      <c r="H30" s="151"/>
    </row>
    <row r="31" spans="1:8" s="65" customFormat="1" ht="15">
      <c r="A31" s="85" t="s">
        <v>154</v>
      </c>
      <c r="B31" s="85"/>
      <c r="C31" s="85"/>
      <c r="D31" s="95">
        <v>0</v>
      </c>
      <c r="E31" s="86"/>
      <c r="F31" s="86"/>
      <c r="G31" s="86"/>
      <c r="H31" s="152"/>
    </row>
    <row r="32" spans="1:8" s="65" customFormat="1" ht="12.75">
      <c r="A32" s="86"/>
      <c r="B32" s="86"/>
      <c r="C32" s="86"/>
      <c r="D32" s="86"/>
      <c r="E32" s="86"/>
      <c r="F32" s="86"/>
      <c r="G32" s="86"/>
      <c r="H32" s="152"/>
    </row>
    <row r="33" spans="1:8" s="65" customFormat="1" ht="12.75">
      <c r="A33" s="86"/>
      <c r="B33" s="86"/>
      <c r="C33" s="96" t="s">
        <v>12</v>
      </c>
      <c r="D33" s="97">
        <f>SUM(D17:D31)</f>
        <v>36606.4</v>
      </c>
      <c r="E33" s="86"/>
      <c r="F33" s="86"/>
      <c r="G33" s="86"/>
      <c r="H33" s="152"/>
    </row>
    <row r="34" spans="1:8" s="65" customFormat="1" ht="12.75">
      <c r="A34" s="86"/>
      <c r="B34" s="86"/>
      <c r="C34" s="86"/>
      <c r="D34" s="86"/>
      <c r="E34" s="86"/>
      <c r="F34" s="86"/>
      <c r="G34" s="86"/>
      <c r="H34" s="152"/>
    </row>
    <row r="35" spans="1:7" ht="12.75">
      <c r="A35" s="193" t="s">
        <v>121</v>
      </c>
      <c r="B35" s="84"/>
      <c r="C35" s="84"/>
      <c r="D35" s="84"/>
      <c r="E35" s="84"/>
      <c r="F35" s="84"/>
      <c r="G35" s="84"/>
    </row>
    <row r="36" spans="1:7" ht="12.75">
      <c r="A36" s="194"/>
      <c r="B36" s="84"/>
      <c r="C36" s="84"/>
      <c r="D36" s="84"/>
      <c r="E36" s="84"/>
      <c r="F36" s="84"/>
      <c r="G36" s="84"/>
    </row>
    <row r="37" spans="1:7" ht="12.75">
      <c r="A37" s="84" t="s">
        <v>9</v>
      </c>
      <c r="B37" s="84"/>
      <c r="C37" s="84"/>
      <c r="D37" s="98">
        <v>0</v>
      </c>
      <c r="E37" s="84"/>
      <c r="F37" s="84"/>
      <c r="G37" s="84"/>
    </row>
    <row r="38" spans="1:7" ht="12.75">
      <c r="A38" s="84" t="s">
        <v>10</v>
      </c>
      <c r="B38" s="84"/>
      <c r="C38" s="84"/>
      <c r="D38" s="98">
        <v>0</v>
      </c>
      <c r="E38" s="84"/>
      <c r="F38" s="84"/>
      <c r="G38" s="84"/>
    </row>
    <row r="39" spans="1:7" ht="12.75">
      <c r="A39" s="84" t="s">
        <v>10</v>
      </c>
      <c r="B39" s="84"/>
      <c r="C39" s="84"/>
      <c r="D39" s="98">
        <v>0</v>
      </c>
      <c r="E39" s="84"/>
      <c r="F39" s="84"/>
      <c r="G39" s="84"/>
    </row>
    <row r="40" spans="1:7" ht="12.75">
      <c r="A40" s="84" t="s">
        <v>10</v>
      </c>
      <c r="B40" s="84"/>
      <c r="C40" s="84"/>
      <c r="D40" s="98">
        <v>0</v>
      </c>
      <c r="E40" s="84"/>
      <c r="F40" s="84"/>
      <c r="G40" s="84"/>
    </row>
    <row r="41" spans="1:8" s="65" customFormat="1" ht="15">
      <c r="A41" s="84" t="s">
        <v>10</v>
      </c>
      <c r="B41" s="84"/>
      <c r="C41" s="84"/>
      <c r="D41" s="95">
        <v>0</v>
      </c>
      <c r="E41" s="86"/>
      <c r="F41" s="86"/>
      <c r="G41" s="86"/>
      <c r="H41" s="152"/>
    </row>
    <row r="42" spans="1:8" s="65" customFormat="1" ht="15">
      <c r="A42" s="86"/>
      <c r="B42" s="86"/>
      <c r="C42" s="86"/>
      <c r="D42" s="95"/>
      <c r="E42" s="86"/>
      <c r="F42" s="86"/>
      <c r="G42" s="86"/>
      <c r="H42" s="152"/>
    </row>
    <row r="43" spans="1:8" s="65" customFormat="1" ht="12.75">
      <c r="A43" s="86"/>
      <c r="B43" s="86"/>
      <c r="C43" s="96" t="s">
        <v>11</v>
      </c>
      <c r="D43" s="97">
        <f>SUM(D37:D41)</f>
        <v>0</v>
      </c>
      <c r="E43" s="86"/>
      <c r="F43" s="86"/>
      <c r="G43" s="86"/>
      <c r="H43" s="152"/>
    </row>
    <row r="44" spans="1:8" s="65" customFormat="1" ht="12.75">
      <c r="A44" s="86"/>
      <c r="B44" s="86"/>
      <c r="C44" s="86"/>
      <c r="D44" s="86"/>
      <c r="E44" s="86"/>
      <c r="F44" s="86"/>
      <c r="G44" s="86"/>
      <c r="H44" s="152"/>
    </row>
    <row r="45" spans="1:8" s="65" customFormat="1" ht="12.75">
      <c r="A45" s="86"/>
      <c r="B45" s="96"/>
      <c r="C45" s="96" t="s">
        <v>13</v>
      </c>
      <c r="D45" s="97">
        <f>D33-D43</f>
        <v>36606.4</v>
      </c>
      <c r="E45" s="86"/>
      <c r="F45" s="86"/>
      <c r="G45" s="86"/>
      <c r="H45" s="152"/>
    </row>
    <row r="46" spans="1:8" s="65" customFormat="1" ht="12.75">
      <c r="A46" s="86"/>
      <c r="B46" s="86"/>
      <c r="C46" s="86"/>
      <c r="D46" s="86"/>
      <c r="E46" s="86"/>
      <c r="F46" s="86"/>
      <c r="G46" s="86"/>
      <c r="H46" s="152"/>
    </row>
    <row r="47" spans="1:8" s="65" customFormat="1" ht="12.75">
      <c r="A47" s="86"/>
      <c r="B47" s="86"/>
      <c r="C47" s="86"/>
      <c r="D47" s="86"/>
      <c r="E47" s="86"/>
      <c r="F47" s="86"/>
      <c r="G47" s="86"/>
      <c r="H47" s="152"/>
    </row>
    <row r="48" spans="1:8" s="65" customFormat="1" ht="12.75">
      <c r="A48" s="86"/>
      <c r="B48" s="86"/>
      <c r="C48" s="86"/>
      <c r="D48" s="86"/>
      <c r="E48" s="86"/>
      <c r="F48" s="86"/>
      <c r="G48" s="86"/>
      <c r="H48" s="152"/>
    </row>
    <row r="49" spans="1:7" ht="12.75">
      <c r="A49" s="190" t="s">
        <v>122</v>
      </c>
      <c r="B49" s="192"/>
      <c r="C49" s="192"/>
      <c r="D49" s="192"/>
      <c r="E49" s="192"/>
      <c r="F49" s="192"/>
      <c r="G49" s="192"/>
    </row>
    <row r="50" spans="1:7" ht="12.75">
      <c r="A50" s="192"/>
      <c r="B50" s="192"/>
      <c r="C50" s="192"/>
      <c r="D50" s="192"/>
      <c r="E50" s="192"/>
      <c r="F50" s="192"/>
      <c r="G50" s="192"/>
    </row>
    <row r="51" spans="1:7" ht="12.75">
      <c r="A51" s="84"/>
      <c r="B51" s="84"/>
      <c r="C51" s="84"/>
      <c r="D51" s="84"/>
      <c r="E51" s="84"/>
      <c r="F51" s="84"/>
      <c r="G51" s="84"/>
    </row>
    <row r="52" spans="1:7" ht="12.75">
      <c r="A52" s="84" t="s">
        <v>20</v>
      </c>
      <c r="B52" s="176" t="s">
        <v>162</v>
      </c>
      <c r="C52" s="176"/>
      <c r="D52" s="176"/>
      <c r="E52" s="176"/>
      <c r="F52" s="176"/>
      <c r="G52" s="176"/>
    </row>
    <row r="53" spans="1:7" ht="12.75">
      <c r="A53" s="84"/>
      <c r="B53" s="176"/>
      <c r="C53" s="176"/>
      <c r="D53" s="176"/>
      <c r="E53" s="176"/>
      <c r="F53" s="176"/>
      <c r="G53" s="176"/>
    </row>
    <row r="54" spans="1:7" ht="13.5" thickBot="1">
      <c r="A54" s="84"/>
      <c r="B54" s="84"/>
      <c r="C54" s="84"/>
      <c r="D54" s="84"/>
      <c r="E54" s="84"/>
      <c r="F54" s="84"/>
      <c r="G54" s="84"/>
    </row>
    <row r="55" spans="1:7" ht="13.5" thickBot="1">
      <c r="A55" s="99" t="s">
        <v>14</v>
      </c>
      <c r="B55" s="66">
        <v>0.4</v>
      </c>
      <c r="C55" s="100" t="s">
        <v>15</v>
      </c>
      <c r="D55" s="101">
        <f>'Budget &amp; Rate Methodology'!$D$45</f>
        <v>36606.4</v>
      </c>
      <c r="E55" s="102" t="s">
        <v>16</v>
      </c>
      <c r="F55" s="101">
        <f>'Budget &amp; Rate Methodology'!$D$17+'Budget &amp; Rate Methodology'!$D$18+'Budget &amp; Rate Methodology'!$D$23-$D$37</f>
        <v>19800</v>
      </c>
      <c r="G55" s="84"/>
    </row>
    <row r="56" spans="1:7" ht="12.75">
      <c r="A56" s="84"/>
      <c r="B56" s="84"/>
      <c r="C56" s="84"/>
      <c r="D56" s="84"/>
      <c r="E56" s="84"/>
      <c r="F56" s="84"/>
      <c r="G56" s="84"/>
    </row>
    <row r="57" spans="1:8" s="65" customFormat="1" ht="15">
      <c r="A57" s="99" t="s">
        <v>14</v>
      </c>
      <c r="B57" s="103">
        <f>B55*(D55-F55)</f>
        <v>6722.560000000001</v>
      </c>
      <c r="C57" s="86"/>
      <c r="D57" s="86"/>
      <c r="E57" s="86"/>
      <c r="F57" s="86"/>
      <c r="G57" s="86"/>
      <c r="H57" s="152"/>
    </row>
    <row r="58" spans="1:8" s="65" customFormat="1" ht="12.75">
      <c r="A58" s="86"/>
      <c r="B58" s="86"/>
      <c r="C58" s="86"/>
      <c r="D58" s="86"/>
      <c r="E58" s="86"/>
      <c r="F58" s="86"/>
      <c r="G58" s="86"/>
      <c r="H58" s="152"/>
    </row>
    <row r="59" spans="1:8" s="65" customFormat="1" ht="12.75">
      <c r="A59" s="86" t="s">
        <v>18</v>
      </c>
      <c r="B59" s="202" t="s">
        <v>163</v>
      </c>
      <c r="C59" s="202"/>
      <c r="D59" s="202"/>
      <c r="E59" s="202"/>
      <c r="F59" s="202"/>
      <c r="G59" s="202"/>
      <c r="H59" s="152"/>
    </row>
    <row r="60" spans="1:8" s="65" customFormat="1" ht="12.75">
      <c r="A60" s="86"/>
      <c r="B60" s="202"/>
      <c r="C60" s="202"/>
      <c r="D60" s="202"/>
      <c r="E60" s="202"/>
      <c r="F60" s="202"/>
      <c r="G60" s="202"/>
      <c r="H60" s="152"/>
    </row>
    <row r="61" spans="1:8" s="65" customFormat="1" ht="13.5" thickBot="1">
      <c r="A61" s="86"/>
      <c r="B61" s="86"/>
      <c r="C61" s="86"/>
      <c r="D61" s="86"/>
      <c r="E61" s="86"/>
      <c r="F61" s="86"/>
      <c r="G61" s="86"/>
      <c r="H61" s="152"/>
    </row>
    <row r="62" spans="1:8" s="65" customFormat="1" ht="13.5" thickBot="1">
      <c r="A62" s="104" t="s">
        <v>14</v>
      </c>
      <c r="B62" s="67">
        <v>0.3</v>
      </c>
      <c r="C62" s="105" t="s">
        <v>15</v>
      </c>
      <c r="D62" s="97">
        <f>'Budget &amp; Rate Methodology'!$D$45</f>
        <v>36606.4</v>
      </c>
      <c r="E62" s="106" t="s">
        <v>16</v>
      </c>
      <c r="F62" s="101">
        <f>'Budget &amp; Rate Methodology'!$D$17+'Budget &amp; Rate Methodology'!$D$18+'Budget &amp; Rate Methodology'!$D$23-$D$37</f>
        <v>19800</v>
      </c>
      <c r="G62" s="86"/>
      <c r="H62" s="152"/>
    </row>
    <row r="63" spans="1:8" s="65" customFormat="1" ht="12.75">
      <c r="A63" s="86"/>
      <c r="B63" s="86"/>
      <c r="C63" s="86"/>
      <c r="D63" s="86"/>
      <c r="E63" s="86"/>
      <c r="F63" s="86"/>
      <c r="G63" s="86"/>
      <c r="H63" s="152"/>
    </row>
    <row r="64" spans="1:8" s="65" customFormat="1" ht="15">
      <c r="A64" s="104" t="s">
        <v>14</v>
      </c>
      <c r="B64" s="103">
        <f>B62*(D62-F62)</f>
        <v>5041.92</v>
      </c>
      <c r="C64" s="86"/>
      <c r="D64" s="86"/>
      <c r="E64" s="86"/>
      <c r="F64" s="86"/>
      <c r="G64" s="86"/>
      <c r="H64" s="152"/>
    </row>
    <row r="65" spans="1:8" s="65" customFormat="1" ht="12.75">
      <c r="A65" s="86"/>
      <c r="B65" s="86"/>
      <c r="C65" s="86"/>
      <c r="D65" s="86"/>
      <c r="E65" s="86"/>
      <c r="F65" s="86"/>
      <c r="G65" s="86"/>
      <c r="H65" s="152"/>
    </row>
    <row r="66" spans="1:8" s="65" customFormat="1" ht="12.75">
      <c r="A66" s="86" t="s">
        <v>19</v>
      </c>
      <c r="B66" s="202" t="s">
        <v>164</v>
      </c>
      <c r="C66" s="202"/>
      <c r="D66" s="202"/>
      <c r="E66" s="202"/>
      <c r="F66" s="202"/>
      <c r="G66" s="202"/>
      <c r="H66" s="152"/>
    </row>
    <row r="67" spans="1:8" s="65" customFormat="1" ht="12.75">
      <c r="A67" s="86"/>
      <c r="B67" s="202"/>
      <c r="C67" s="202"/>
      <c r="D67" s="202"/>
      <c r="E67" s="202"/>
      <c r="F67" s="202"/>
      <c r="G67" s="202"/>
      <c r="H67" s="152"/>
    </row>
    <row r="68" spans="1:8" s="65" customFormat="1" ht="13.5" thickBot="1">
      <c r="A68" s="86"/>
      <c r="B68" s="86"/>
      <c r="C68" s="86"/>
      <c r="D68" s="86"/>
      <c r="E68" s="86"/>
      <c r="F68" s="86"/>
      <c r="G68" s="86"/>
      <c r="H68" s="152"/>
    </row>
    <row r="69" spans="1:8" s="65" customFormat="1" ht="13.5" thickBot="1">
      <c r="A69" s="104" t="s">
        <v>14</v>
      </c>
      <c r="B69" s="67">
        <v>0.3</v>
      </c>
      <c r="C69" s="105" t="s">
        <v>15</v>
      </c>
      <c r="D69" s="97">
        <f>'Budget &amp; Rate Methodology'!$D$45</f>
        <v>36606.4</v>
      </c>
      <c r="E69" s="106" t="s">
        <v>16</v>
      </c>
      <c r="F69" s="101">
        <f>'Budget &amp; Rate Methodology'!$D$17+'Budget &amp; Rate Methodology'!$D$18+'Budget &amp; Rate Methodology'!$D$23-$D$37</f>
        <v>19800</v>
      </c>
      <c r="G69" s="86"/>
      <c r="H69" s="152"/>
    </row>
    <row r="70" spans="1:8" s="65" customFormat="1" ht="12.75">
      <c r="A70" s="86"/>
      <c r="B70" s="86"/>
      <c r="C70" s="86"/>
      <c r="D70" s="86"/>
      <c r="E70" s="86"/>
      <c r="F70" s="86"/>
      <c r="G70" s="86"/>
      <c r="H70" s="152"/>
    </row>
    <row r="71" spans="1:8" s="65" customFormat="1" ht="15">
      <c r="A71" s="104" t="s">
        <v>14</v>
      </c>
      <c r="B71" s="103">
        <f>B69*(D69-F69)</f>
        <v>5041.92</v>
      </c>
      <c r="C71" s="86"/>
      <c r="D71" s="86"/>
      <c r="E71" s="86"/>
      <c r="F71" s="86"/>
      <c r="G71" s="86"/>
      <c r="H71" s="152"/>
    </row>
    <row r="72" spans="1:8" s="65" customFormat="1" ht="12.75">
      <c r="A72" s="86"/>
      <c r="B72" s="86"/>
      <c r="C72" s="86"/>
      <c r="D72" s="86"/>
      <c r="E72" s="86"/>
      <c r="F72" s="86"/>
      <c r="G72" s="86"/>
      <c r="H72" s="152"/>
    </row>
    <row r="73" spans="1:8" s="65" customFormat="1" ht="12.75">
      <c r="A73" s="86" t="s">
        <v>17</v>
      </c>
      <c r="B73" s="202" t="s">
        <v>165</v>
      </c>
      <c r="C73" s="202"/>
      <c r="D73" s="202"/>
      <c r="E73" s="202"/>
      <c r="F73" s="202"/>
      <c r="G73" s="202"/>
      <c r="H73" s="152"/>
    </row>
    <row r="74" spans="1:8" s="65" customFormat="1" ht="12.75">
      <c r="A74" s="86"/>
      <c r="B74" s="202"/>
      <c r="C74" s="202"/>
      <c r="D74" s="202"/>
      <c r="E74" s="202"/>
      <c r="F74" s="202"/>
      <c r="G74" s="202"/>
      <c r="H74" s="152"/>
    </row>
    <row r="75" spans="1:8" s="65" customFormat="1" ht="13.5" thickBot="1">
      <c r="A75" s="86"/>
      <c r="B75" s="86"/>
      <c r="C75" s="86"/>
      <c r="D75" s="86"/>
      <c r="E75" s="86"/>
      <c r="F75" s="86"/>
      <c r="G75" s="86"/>
      <c r="H75" s="152"/>
    </row>
    <row r="76" spans="1:8" s="65" customFormat="1" ht="13.5" thickBot="1">
      <c r="A76" s="104" t="s">
        <v>14</v>
      </c>
      <c r="B76" s="67">
        <v>0</v>
      </c>
      <c r="C76" s="105" t="s">
        <v>15</v>
      </c>
      <c r="D76" s="97">
        <f>'Budget &amp; Rate Methodology'!$D$45</f>
        <v>36606.4</v>
      </c>
      <c r="E76" s="106" t="s">
        <v>16</v>
      </c>
      <c r="F76" s="97">
        <f>'Budget &amp; Rate Methodology'!$D$17+'Budget &amp; Rate Methodology'!$D$18+'Budget &amp; Rate Methodology'!$D$23</f>
        <v>19800</v>
      </c>
      <c r="G76" s="86"/>
      <c r="H76" s="152"/>
    </row>
    <row r="77" spans="1:8" s="65" customFormat="1" ht="12.75">
      <c r="A77" s="86"/>
      <c r="B77" s="86"/>
      <c r="C77" s="86"/>
      <c r="D77" s="86"/>
      <c r="E77" s="86"/>
      <c r="F77" s="86"/>
      <c r="G77" s="86"/>
      <c r="H77" s="152"/>
    </row>
    <row r="78" spans="1:8" s="65" customFormat="1" ht="15">
      <c r="A78" s="104" t="s">
        <v>14</v>
      </c>
      <c r="B78" s="103">
        <f>B76*(D76-F76)</f>
        <v>0</v>
      </c>
      <c r="C78" s="86"/>
      <c r="D78" s="86"/>
      <c r="E78" s="86"/>
      <c r="F78" s="86"/>
      <c r="G78" s="86"/>
      <c r="H78" s="152"/>
    </row>
    <row r="79" spans="1:8" s="65" customFormat="1" ht="13.5" thickBot="1">
      <c r="A79" s="86"/>
      <c r="B79" s="86"/>
      <c r="C79" s="86"/>
      <c r="D79" s="86"/>
      <c r="E79" s="86"/>
      <c r="F79" s="86"/>
      <c r="G79" s="86"/>
      <c r="H79" s="152"/>
    </row>
    <row r="80" spans="1:7" ht="13.5" thickBot="1">
      <c r="A80" s="86"/>
      <c r="B80" s="68" t="str">
        <f>IF((B55+B62+B69+B76)=100%,"100%","Percentages must Total 100%")</f>
        <v>100%</v>
      </c>
      <c r="C80" s="84"/>
      <c r="D80" s="84"/>
      <c r="E80" s="84"/>
      <c r="F80" s="84"/>
      <c r="G80" s="84"/>
    </row>
    <row r="81" spans="1:7" ht="12.75">
      <c r="A81" s="84"/>
      <c r="B81" s="84"/>
      <c r="C81" s="84"/>
      <c r="D81" s="84"/>
      <c r="E81" s="84"/>
      <c r="F81" s="84"/>
      <c r="G81" s="84"/>
    </row>
    <row r="82" spans="1:7" ht="12.75">
      <c r="A82" s="203" t="s">
        <v>84</v>
      </c>
      <c r="B82" s="204"/>
      <c r="C82" s="204"/>
      <c r="D82" s="204"/>
      <c r="E82" s="204"/>
      <c r="F82" s="204"/>
      <c r="G82" s="204"/>
    </row>
    <row r="83" spans="1:7" ht="12.75">
      <c r="A83" s="204"/>
      <c r="B83" s="204"/>
      <c r="C83" s="204"/>
      <c r="D83" s="204"/>
      <c r="E83" s="204"/>
      <c r="F83" s="204"/>
      <c r="G83" s="204"/>
    </row>
    <row r="84" spans="1:7" ht="12.75">
      <c r="A84" s="204"/>
      <c r="B84" s="204"/>
      <c r="C84" s="204"/>
      <c r="D84" s="204"/>
      <c r="E84" s="204"/>
      <c r="F84" s="204"/>
      <c r="G84" s="204"/>
    </row>
    <row r="85" spans="1:7" ht="12.75">
      <c r="A85" s="204"/>
      <c r="B85" s="204"/>
      <c r="C85" s="204"/>
      <c r="D85" s="204"/>
      <c r="E85" s="204"/>
      <c r="F85" s="204"/>
      <c r="G85" s="204"/>
    </row>
    <row r="86" spans="1:7" ht="12.75">
      <c r="A86" s="204"/>
      <c r="B86" s="204"/>
      <c r="C86" s="204"/>
      <c r="D86" s="204"/>
      <c r="E86" s="204"/>
      <c r="F86" s="204"/>
      <c r="G86" s="204"/>
    </row>
    <row r="87" spans="1:7" ht="12.75">
      <c r="A87" s="204"/>
      <c r="B87" s="204"/>
      <c r="C87" s="204"/>
      <c r="D87" s="204"/>
      <c r="E87" s="204"/>
      <c r="F87" s="204"/>
      <c r="G87" s="204"/>
    </row>
    <row r="88" spans="1:7" ht="12.75">
      <c r="A88" s="204"/>
      <c r="B88" s="204"/>
      <c r="C88" s="204"/>
      <c r="D88" s="204"/>
      <c r="E88" s="204"/>
      <c r="F88" s="204"/>
      <c r="G88" s="204"/>
    </row>
    <row r="89" spans="1:7" ht="12.75">
      <c r="A89" s="204"/>
      <c r="B89" s="204"/>
      <c r="C89" s="204"/>
      <c r="D89" s="204"/>
      <c r="E89" s="204"/>
      <c r="F89" s="204"/>
      <c r="G89" s="204"/>
    </row>
    <row r="90" spans="1:7" ht="12.75">
      <c r="A90" s="204"/>
      <c r="B90" s="204"/>
      <c r="C90" s="204"/>
      <c r="D90" s="204"/>
      <c r="E90" s="204"/>
      <c r="F90" s="204"/>
      <c r="G90" s="204"/>
    </row>
    <row r="91" spans="1:7" ht="12.75">
      <c r="A91" s="204"/>
      <c r="B91" s="204"/>
      <c r="C91" s="204"/>
      <c r="D91" s="204"/>
      <c r="E91" s="204"/>
      <c r="F91" s="204"/>
      <c r="G91" s="204"/>
    </row>
    <row r="92" spans="1:7" ht="12.75">
      <c r="A92" s="84"/>
      <c r="B92" s="84"/>
      <c r="C92" s="84"/>
      <c r="D92" s="84"/>
      <c r="E92" s="84"/>
      <c r="F92" s="84"/>
      <c r="G92" s="84"/>
    </row>
    <row r="93" spans="1:7" ht="12.75">
      <c r="A93" s="199" t="s">
        <v>22</v>
      </c>
      <c r="B93" s="200"/>
      <c r="C93" s="84"/>
      <c r="D93" s="84"/>
      <c r="E93" s="84"/>
      <c r="F93" s="84"/>
      <c r="G93" s="84"/>
    </row>
    <row r="94" spans="1:7" ht="13.5" thickBot="1">
      <c r="A94" s="84"/>
      <c r="B94" s="84"/>
      <c r="C94" s="84"/>
      <c r="D94" s="84"/>
      <c r="E94" s="84"/>
      <c r="F94" s="84"/>
      <c r="G94" s="84"/>
    </row>
    <row r="95" spans="1:7" ht="13.5" thickBot="1">
      <c r="A95" s="84" t="s">
        <v>24</v>
      </c>
      <c r="B95" s="84"/>
      <c r="C95" s="84"/>
      <c r="D95" s="84"/>
      <c r="E95" s="84"/>
      <c r="F95" s="69">
        <v>222</v>
      </c>
      <c r="G95" s="107" t="s">
        <v>25</v>
      </c>
    </row>
    <row r="96" spans="1:7" ht="13.5" thickBot="1">
      <c r="A96" s="84"/>
      <c r="B96" s="84"/>
      <c r="C96" s="84"/>
      <c r="D96" s="84"/>
      <c r="E96" s="84"/>
      <c r="F96" s="84"/>
      <c r="G96" s="84"/>
    </row>
    <row r="97" spans="1:7" ht="13.5" thickBot="1">
      <c r="A97" s="84" t="s">
        <v>23</v>
      </c>
      <c r="B97" s="84"/>
      <c r="C97" s="84"/>
      <c r="D97" s="84"/>
      <c r="E97" s="84"/>
      <c r="F97" s="69">
        <v>23700000</v>
      </c>
      <c r="G97" s="107" t="s">
        <v>26</v>
      </c>
    </row>
    <row r="98" spans="1:7" ht="13.5" thickBot="1">
      <c r="A98" s="84"/>
      <c r="B98" s="84"/>
      <c r="C98" s="84"/>
      <c r="D98" s="84"/>
      <c r="E98" s="84"/>
      <c r="F98" s="84"/>
      <c r="G98" s="84"/>
    </row>
    <row r="99" spans="1:7" ht="13.5" thickBot="1">
      <c r="A99" s="84" t="s">
        <v>28</v>
      </c>
      <c r="B99" s="84"/>
      <c r="C99" s="84"/>
      <c r="D99" s="84"/>
      <c r="E99" s="84"/>
      <c r="F99" s="69">
        <v>49337</v>
      </c>
      <c r="G99" s="107" t="s">
        <v>27</v>
      </c>
    </row>
    <row r="100" spans="1:7" ht="13.5" thickBot="1">
      <c r="A100" s="84"/>
      <c r="B100" s="84"/>
      <c r="C100" s="84"/>
      <c r="D100" s="84"/>
      <c r="E100" s="84"/>
      <c r="F100" s="84"/>
      <c r="G100" s="84"/>
    </row>
    <row r="101" spans="1:7" ht="13.5" thickBot="1">
      <c r="A101" s="84" t="s">
        <v>29</v>
      </c>
      <c r="B101" s="84"/>
      <c r="C101" s="84"/>
      <c r="D101" s="84"/>
      <c r="E101" s="84"/>
      <c r="F101" s="69">
        <v>59205</v>
      </c>
      <c r="G101" s="107" t="s">
        <v>27</v>
      </c>
    </row>
    <row r="102" spans="1:7" ht="13.5" thickBot="1">
      <c r="A102" s="84"/>
      <c r="B102" s="84"/>
      <c r="C102" s="84"/>
      <c r="D102" s="84"/>
      <c r="E102" s="84"/>
      <c r="F102" s="84"/>
      <c r="G102" s="84"/>
    </row>
    <row r="103" spans="1:7" ht="13.5" thickBot="1">
      <c r="A103" s="84" t="s">
        <v>123</v>
      </c>
      <c r="B103" s="84"/>
      <c r="C103" s="84"/>
      <c r="D103" s="84"/>
      <c r="E103" s="84"/>
      <c r="F103" s="69">
        <v>0</v>
      </c>
      <c r="G103" s="107" t="s">
        <v>27</v>
      </c>
    </row>
    <row r="104" spans="1:7" ht="12.75">
      <c r="A104" s="84"/>
      <c r="B104" s="84"/>
      <c r="C104" s="84"/>
      <c r="D104" s="84"/>
      <c r="E104" s="84"/>
      <c r="F104" s="84"/>
      <c r="G104" s="84"/>
    </row>
    <row r="105" spans="1:8" ht="12.75">
      <c r="A105" s="173" t="s">
        <v>85</v>
      </c>
      <c r="B105" s="174"/>
      <c r="C105" s="174"/>
      <c r="D105" s="174"/>
      <c r="E105" s="174"/>
      <c r="F105" s="174"/>
      <c r="G105" s="174"/>
      <c r="H105" s="153"/>
    </row>
    <row r="106" spans="1:8" ht="12.75">
      <c r="A106" s="174"/>
      <c r="B106" s="174"/>
      <c r="C106" s="174"/>
      <c r="D106" s="174"/>
      <c r="E106" s="174"/>
      <c r="F106" s="174"/>
      <c r="G106" s="174"/>
      <c r="H106" s="153"/>
    </row>
    <row r="107" spans="1:8" ht="12.75">
      <c r="A107" s="174"/>
      <c r="B107" s="174"/>
      <c r="C107" s="174"/>
      <c r="D107" s="174"/>
      <c r="E107" s="174"/>
      <c r="F107" s="174"/>
      <c r="G107" s="174"/>
      <c r="H107" s="153"/>
    </row>
    <row r="108" spans="1:8" ht="12.75">
      <c r="A108" s="79"/>
      <c r="B108" s="79"/>
      <c r="C108" s="79"/>
      <c r="D108" s="79"/>
      <c r="E108" s="79"/>
      <c r="F108" s="79"/>
      <c r="G108" s="79"/>
      <c r="H108" s="153"/>
    </row>
    <row r="109" spans="1:8" s="70" customFormat="1" ht="12.75">
      <c r="A109" s="87" t="s">
        <v>30</v>
      </c>
      <c r="B109" s="87"/>
      <c r="C109" s="87"/>
      <c r="D109" s="108">
        <f>ROUND((F99/F97)*0.2642*454545.45,0)</f>
        <v>250</v>
      </c>
      <c r="E109" s="87" t="s">
        <v>72</v>
      </c>
      <c r="F109" s="87"/>
      <c r="G109" s="108"/>
      <c r="H109" s="154"/>
    </row>
    <row r="110" spans="1:8" s="70" customFormat="1" ht="12.75">
      <c r="A110" s="87" t="s">
        <v>31</v>
      </c>
      <c r="B110" s="87"/>
      <c r="C110" s="87"/>
      <c r="D110" s="108">
        <f>ROUND((F101/F97)*0.2642*454545.45,0)</f>
        <v>300</v>
      </c>
      <c r="E110" s="87" t="s">
        <v>72</v>
      </c>
      <c r="F110" s="87"/>
      <c r="G110" s="108"/>
      <c r="H110" s="154"/>
    </row>
    <row r="111" spans="1:8" s="70" customFormat="1" ht="12.75">
      <c r="A111" s="87" t="s">
        <v>32</v>
      </c>
      <c r="B111" s="87"/>
      <c r="C111" s="87"/>
      <c r="D111" s="108">
        <f>ROUND((F103/F97)*0.2642*454545.45,0)</f>
        <v>0</v>
      </c>
      <c r="E111" s="87" t="s">
        <v>72</v>
      </c>
      <c r="F111" s="87"/>
      <c r="G111" s="108"/>
      <c r="H111" s="154"/>
    </row>
    <row r="112" spans="1:8" s="70" customFormat="1" ht="12.75">
      <c r="A112" s="88"/>
      <c r="B112" s="88"/>
      <c r="C112" s="88"/>
      <c r="D112" s="88"/>
      <c r="E112" s="88"/>
      <c r="F112" s="88"/>
      <c r="G112" s="88"/>
      <c r="H112" s="155"/>
    </row>
    <row r="113" spans="1:8" s="70" customFormat="1" ht="12.75">
      <c r="A113" s="88"/>
      <c r="B113" s="88"/>
      <c r="C113" s="88"/>
      <c r="D113" s="88"/>
      <c r="E113" s="88"/>
      <c r="F113" s="88"/>
      <c r="G113" s="88"/>
      <c r="H113" s="155"/>
    </row>
    <row r="114" spans="1:8" s="70" customFormat="1" ht="12.75">
      <c r="A114" s="88"/>
      <c r="B114" s="88"/>
      <c r="C114" s="88"/>
      <c r="D114" s="88"/>
      <c r="E114" s="88"/>
      <c r="F114" s="88"/>
      <c r="G114" s="88"/>
      <c r="H114" s="155"/>
    </row>
    <row r="115" spans="1:7" ht="12.75">
      <c r="A115" s="109" t="s">
        <v>34</v>
      </c>
      <c r="B115" s="110"/>
      <c r="C115" s="84"/>
      <c r="D115" s="84"/>
      <c r="E115" s="84"/>
      <c r="F115" s="84"/>
      <c r="G115" s="84"/>
    </row>
    <row r="116" spans="1:7" ht="12.75">
      <c r="A116" s="84"/>
      <c r="B116" s="110"/>
      <c r="C116" s="84"/>
      <c r="D116" s="84"/>
      <c r="E116" s="84"/>
      <c r="F116" s="84"/>
      <c r="G116" s="84"/>
    </row>
    <row r="117" spans="1:8" s="71" customFormat="1" ht="12.75">
      <c r="A117" s="84" t="s">
        <v>33</v>
      </c>
      <c r="B117" s="111" t="s">
        <v>14</v>
      </c>
      <c r="C117" s="84"/>
      <c r="D117" s="112" t="s">
        <v>37</v>
      </c>
      <c r="E117" s="89"/>
      <c r="F117" s="89"/>
      <c r="G117" s="89"/>
      <c r="H117" s="156"/>
    </row>
    <row r="118" spans="1:7" ht="12.75">
      <c r="A118" s="89"/>
      <c r="B118" s="113"/>
      <c r="C118" s="89"/>
      <c r="D118" s="114" t="s">
        <v>38</v>
      </c>
      <c r="E118" s="84"/>
      <c r="F118" s="84"/>
      <c r="G118" s="84"/>
    </row>
    <row r="119" spans="1:7" ht="12.75">
      <c r="A119" s="84"/>
      <c r="B119" s="110"/>
      <c r="C119" s="84"/>
      <c r="D119" s="84"/>
      <c r="E119" s="84"/>
      <c r="F119" s="84"/>
      <c r="G119" s="84"/>
    </row>
    <row r="120" spans="1:8" s="65" customFormat="1" ht="15">
      <c r="A120" s="84"/>
      <c r="B120" s="111" t="s">
        <v>14</v>
      </c>
      <c r="C120" s="84"/>
      <c r="D120" s="115">
        <f>B57</f>
        <v>6722.560000000001</v>
      </c>
      <c r="E120" s="86"/>
      <c r="F120" s="86"/>
      <c r="G120" s="86"/>
      <c r="H120" s="152"/>
    </row>
    <row r="121" spans="1:8" s="65" customFormat="1" ht="12.75">
      <c r="A121" s="86"/>
      <c r="B121" s="116"/>
      <c r="C121" s="86"/>
      <c r="D121" s="117">
        <f>F97</f>
        <v>23700000</v>
      </c>
      <c r="E121" s="86"/>
      <c r="F121" s="86"/>
      <c r="G121" s="86"/>
      <c r="H121" s="152"/>
    </row>
    <row r="122" spans="1:8" s="65" customFormat="1" ht="12.75">
      <c r="A122" s="86"/>
      <c r="B122" s="116"/>
      <c r="C122" s="86"/>
      <c r="D122" s="86"/>
      <c r="E122" s="86"/>
      <c r="F122" s="86"/>
      <c r="G122" s="86"/>
      <c r="H122" s="152"/>
    </row>
    <row r="123" spans="1:8" s="65" customFormat="1" ht="12.75">
      <c r="A123" s="86"/>
      <c r="B123" s="118" t="s">
        <v>14</v>
      </c>
      <c r="C123" s="86"/>
      <c r="D123" s="119">
        <f>ROUNDUP(D120/D121,6)</f>
        <v>0.000284</v>
      </c>
      <c r="E123" s="120" t="s">
        <v>39</v>
      </c>
      <c r="F123" s="120"/>
      <c r="G123" s="86"/>
      <c r="H123" s="152"/>
    </row>
    <row r="124" spans="1:8" s="65" customFormat="1" ht="12.75">
      <c r="A124" s="86"/>
      <c r="B124" s="116"/>
      <c r="C124" s="86"/>
      <c r="D124" s="86"/>
      <c r="E124" s="86"/>
      <c r="F124" s="86"/>
      <c r="G124" s="86"/>
      <c r="H124" s="152"/>
    </row>
    <row r="125" spans="1:8" s="71" customFormat="1" ht="12.75">
      <c r="A125" s="86" t="s">
        <v>35</v>
      </c>
      <c r="B125" s="118" t="s">
        <v>14</v>
      </c>
      <c r="C125" s="86"/>
      <c r="D125" s="112" t="s">
        <v>40</v>
      </c>
      <c r="E125" s="89"/>
      <c r="F125" s="89"/>
      <c r="G125" s="89"/>
      <c r="H125" s="156"/>
    </row>
    <row r="126" spans="1:7" ht="12.75">
      <c r="A126" s="89"/>
      <c r="B126" s="113"/>
      <c r="C126" s="89"/>
      <c r="D126" s="114" t="s">
        <v>41</v>
      </c>
      <c r="E126" s="84"/>
      <c r="F126" s="84"/>
      <c r="G126" s="84"/>
    </row>
    <row r="127" spans="1:7" ht="12.75">
      <c r="A127" s="84"/>
      <c r="B127" s="110"/>
      <c r="C127" s="84"/>
      <c r="D127" s="84"/>
      <c r="E127" s="84"/>
      <c r="F127" s="84"/>
      <c r="G127" s="84"/>
    </row>
    <row r="128" spans="1:8" s="65" customFormat="1" ht="15">
      <c r="A128" s="84"/>
      <c r="B128" s="111" t="s">
        <v>14</v>
      </c>
      <c r="C128" s="84"/>
      <c r="D128" s="115">
        <f>B64</f>
        <v>5041.92</v>
      </c>
      <c r="E128" s="86"/>
      <c r="F128" s="86"/>
      <c r="G128" s="86"/>
      <c r="H128" s="152"/>
    </row>
    <row r="129" spans="1:8" s="65" customFormat="1" ht="12.75">
      <c r="A129" s="86"/>
      <c r="B129" s="116"/>
      <c r="C129" s="86"/>
      <c r="D129" s="117">
        <f>F99</f>
        <v>49337</v>
      </c>
      <c r="E129" s="86"/>
      <c r="F129" s="86"/>
      <c r="G129" s="86"/>
      <c r="H129" s="152"/>
    </row>
    <row r="130" spans="1:8" s="65" customFormat="1" ht="12.75">
      <c r="A130" s="86"/>
      <c r="B130" s="116"/>
      <c r="C130" s="86"/>
      <c r="D130" s="86"/>
      <c r="E130" s="86"/>
      <c r="F130" s="86"/>
      <c r="G130" s="86"/>
      <c r="H130" s="152"/>
    </row>
    <row r="131" spans="1:8" s="65" customFormat="1" ht="12.75">
      <c r="A131" s="86"/>
      <c r="B131" s="118" t="s">
        <v>14</v>
      </c>
      <c r="C131" s="86"/>
      <c r="D131" s="119">
        <f>ROUNDUP(D128/D129,6)</f>
        <v>0.10219400000000001</v>
      </c>
      <c r="E131" s="120" t="s">
        <v>42</v>
      </c>
      <c r="F131" s="120"/>
      <c r="G131" s="86"/>
      <c r="H131" s="152"/>
    </row>
    <row r="132" spans="1:8" s="65" customFormat="1" ht="12.75">
      <c r="A132" s="86"/>
      <c r="B132" s="116"/>
      <c r="C132" s="86"/>
      <c r="D132" s="86"/>
      <c r="E132" s="86"/>
      <c r="F132" s="86"/>
      <c r="G132" s="86"/>
      <c r="H132" s="152"/>
    </row>
    <row r="133" spans="1:8" s="71" customFormat="1" ht="12.75">
      <c r="A133" s="86" t="s">
        <v>36</v>
      </c>
      <c r="B133" s="118" t="s">
        <v>14</v>
      </c>
      <c r="C133" s="86"/>
      <c r="D133" s="112" t="s">
        <v>43</v>
      </c>
      <c r="E133" s="89"/>
      <c r="F133" s="89"/>
      <c r="G133" s="89"/>
      <c r="H133" s="156"/>
    </row>
    <row r="134" spans="1:7" ht="12.75">
      <c r="A134" s="89"/>
      <c r="B134" s="113"/>
      <c r="C134" s="89"/>
      <c r="D134" s="114" t="s">
        <v>44</v>
      </c>
      <c r="E134" s="84"/>
      <c r="F134" s="84"/>
      <c r="G134" s="84"/>
    </row>
    <row r="135" spans="1:7" ht="12.75">
      <c r="A135" s="84"/>
      <c r="B135" s="110"/>
      <c r="C135" s="84"/>
      <c r="D135" s="84"/>
      <c r="E135" s="84"/>
      <c r="F135" s="84"/>
      <c r="G135" s="84"/>
    </row>
    <row r="136" spans="1:8" s="65" customFormat="1" ht="15">
      <c r="A136" s="84"/>
      <c r="B136" s="111" t="s">
        <v>14</v>
      </c>
      <c r="C136" s="84"/>
      <c r="D136" s="115">
        <f>B71</f>
        <v>5041.92</v>
      </c>
      <c r="E136" s="86"/>
      <c r="F136" s="86"/>
      <c r="G136" s="86"/>
      <c r="H136" s="152"/>
    </row>
    <row r="137" spans="1:8" s="65" customFormat="1" ht="12.75">
      <c r="A137" s="86"/>
      <c r="B137" s="116"/>
      <c r="C137" s="86"/>
      <c r="D137" s="117">
        <f>F101</f>
        <v>59205</v>
      </c>
      <c r="E137" s="86"/>
      <c r="F137" s="86"/>
      <c r="G137" s="86"/>
      <c r="H137" s="152"/>
    </row>
    <row r="138" spans="1:8" s="65" customFormat="1" ht="12.75">
      <c r="A138" s="86"/>
      <c r="B138" s="116"/>
      <c r="C138" s="86"/>
      <c r="D138" s="86"/>
      <c r="E138" s="86"/>
      <c r="F138" s="86"/>
      <c r="G138" s="86"/>
      <c r="H138" s="152"/>
    </row>
    <row r="139" spans="1:8" s="65" customFormat="1" ht="12.75">
      <c r="A139" s="86"/>
      <c r="B139" s="118" t="s">
        <v>14</v>
      </c>
      <c r="C139" s="86"/>
      <c r="D139" s="119">
        <f>ROUNDUP(D136/D137,6)</f>
        <v>0.085161</v>
      </c>
      <c r="E139" s="120" t="s">
        <v>42</v>
      </c>
      <c r="F139" s="120"/>
      <c r="G139" s="86"/>
      <c r="H139" s="152"/>
    </row>
    <row r="140" spans="1:8" s="65" customFormat="1" ht="12.75">
      <c r="A140" s="86"/>
      <c r="B140" s="118"/>
      <c r="C140" s="86"/>
      <c r="D140" s="121"/>
      <c r="E140" s="86"/>
      <c r="F140" s="86"/>
      <c r="G140" s="86"/>
      <c r="H140" s="152"/>
    </row>
    <row r="141" spans="1:8" s="71" customFormat="1" ht="12.75">
      <c r="A141" s="86" t="s">
        <v>124</v>
      </c>
      <c r="B141" s="118" t="s">
        <v>14</v>
      </c>
      <c r="C141" s="86"/>
      <c r="D141" s="112" t="s">
        <v>125</v>
      </c>
      <c r="E141" s="89"/>
      <c r="F141" s="89"/>
      <c r="G141" s="89"/>
      <c r="H141" s="156"/>
    </row>
    <row r="142" spans="1:7" ht="12.75">
      <c r="A142" s="89"/>
      <c r="B142" s="113"/>
      <c r="C142" s="89"/>
      <c r="D142" s="114" t="s">
        <v>126</v>
      </c>
      <c r="E142" s="84"/>
      <c r="F142" s="84"/>
      <c r="G142" s="84"/>
    </row>
    <row r="143" spans="1:7" ht="12.75">
      <c r="A143" s="84"/>
      <c r="B143" s="110"/>
      <c r="C143" s="84"/>
      <c r="D143" s="84"/>
      <c r="E143" s="84"/>
      <c r="F143" s="84"/>
      <c r="G143" s="84"/>
    </row>
    <row r="144" spans="1:8" s="65" customFormat="1" ht="15">
      <c r="A144" s="84"/>
      <c r="B144" s="111" t="s">
        <v>14</v>
      </c>
      <c r="C144" s="84"/>
      <c r="D144" s="115">
        <f>B78</f>
        <v>0</v>
      </c>
      <c r="E144" s="86"/>
      <c r="F144" s="86"/>
      <c r="G144" s="86"/>
      <c r="H144" s="152"/>
    </row>
    <row r="145" spans="1:8" s="65" customFormat="1" ht="12.75">
      <c r="A145" s="86"/>
      <c r="B145" s="116"/>
      <c r="C145" s="86"/>
      <c r="D145" s="117">
        <f>F103</f>
        <v>0</v>
      </c>
      <c r="E145" s="86"/>
      <c r="F145" s="86"/>
      <c r="G145" s="86"/>
      <c r="H145" s="152"/>
    </row>
    <row r="146" spans="1:8" s="65" customFormat="1" ht="12.75">
      <c r="A146" s="86"/>
      <c r="B146" s="116"/>
      <c r="C146" s="86"/>
      <c r="D146" s="86"/>
      <c r="E146" s="86"/>
      <c r="F146" s="86"/>
      <c r="G146" s="86"/>
      <c r="H146" s="152"/>
    </row>
    <row r="147" spans="1:8" s="65" customFormat="1" ht="12.75">
      <c r="A147" s="86"/>
      <c r="B147" s="118" t="s">
        <v>14</v>
      </c>
      <c r="C147" s="86"/>
      <c r="D147" s="97">
        <f>IF(ISERROR((D144/D145)),0,ROUNDUP(D144/D145,6))</f>
        <v>0</v>
      </c>
      <c r="E147" s="120" t="s">
        <v>42</v>
      </c>
      <c r="F147" s="120"/>
      <c r="G147" s="86"/>
      <c r="H147" s="152"/>
    </row>
    <row r="148" spans="1:8" s="65" customFormat="1" ht="12.75">
      <c r="A148" s="86"/>
      <c r="B148" s="116"/>
      <c r="C148" s="86"/>
      <c r="D148" s="86"/>
      <c r="E148" s="86"/>
      <c r="F148" s="86"/>
      <c r="G148" s="86"/>
      <c r="H148" s="152"/>
    </row>
    <row r="149" spans="1:7" ht="12.75">
      <c r="A149" s="173" t="s">
        <v>45</v>
      </c>
      <c r="B149" s="201"/>
      <c r="C149" s="201"/>
      <c r="D149" s="201"/>
      <c r="E149" s="201"/>
      <c r="F149" s="201"/>
      <c r="G149" s="201"/>
    </row>
    <row r="150" spans="1:7" ht="12.75">
      <c r="A150" s="201"/>
      <c r="B150" s="201"/>
      <c r="C150" s="201"/>
      <c r="D150" s="201"/>
      <c r="E150" s="201"/>
      <c r="F150" s="201"/>
      <c r="G150" s="201"/>
    </row>
    <row r="151" spans="1:7" ht="12.75">
      <c r="A151" s="84"/>
      <c r="B151" s="110"/>
      <c r="C151" s="84"/>
      <c r="D151" s="84"/>
      <c r="E151" s="84"/>
      <c r="F151" s="84"/>
      <c r="G151" s="84"/>
    </row>
    <row r="152" spans="1:7" ht="12.75">
      <c r="A152" s="84"/>
      <c r="B152" s="84"/>
      <c r="C152" s="84"/>
      <c r="D152" s="84"/>
      <c r="E152" s="84"/>
      <c r="F152" s="84"/>
      <c r="G152" s="84"/>
    </row>
    <row r="153" spans="1:7" ht="12.75">
      <c r="A153" s="84"/>
      <c r="B153" s="84"/>
      <c r="C153" s="84"/>
      <c r="D153" s="84"/>
      <c r="E153" s="84"/>
      <c r="F153" s="84"/>
      <c r="G153" s="84"/>
    </row>
    <row r="154" spans="1:7" ht="12.75">
      <c r="A154" s="109" t="s">
        <v>46</v>
      </c>
      <c r="B154" s="122"/>
      <c r="C154" s="123"/>
      <c r="D154" s="84"/>
      <c r="E154" s="84"/>
      <c r="F154" s="84"/>
      <c r="G154" s="84"/>
    </row>
    <row r="155" spans="1:7" ht="12.75">
      <c r="A155" s="84"/>
      <c r="B155" s="84"/>
      <c r="C155" s="84"/>
      <c r="D155" s="84"/>
      <c r="E155" s="84"/>
      <c r="F155" s="84"/>
      <c r="G155" s="84"/>
    </row>
    <row r="156" spans="1:7" ht="13.5" thickBot="1">
      <c r="A156" s="84" t="s">
        <v>47</v>
      </c>
      <c r="B156" s="124">
        <f>F95</f>
        <v>222</v>
      </c>
      <c r="C156" s="123"/>
      <c r="D156" s="84"/>
      <c r="E156" s="84"/>
      <c r="F156" s="84"/>
      <c r="G156" s="84"/>
    </row>
    <row r="157" spans="1:7" ht="13.5" thickBot="1">
      <c r="A157" s="84" t="s">
        <v>48</v>
      </c>
      <c r="B157" s="72">
        <v>12</v>
      </c>
      <c r="C157" s="84"/>
      <c r="D157" s="84"/>
      <c r="E157" s="84"/>
      <c r="F157" s="84"/>
      <c r="G157" s="84"/>
    </row>
    <row r="158" spans="1:7" ht="12.75">
      <c r="A158" s="84"/>
      <c r="B158" s="84"/>
      <c r="C158" s="84"/>
      <c r="D158" s="84"/>
      <c r="E158" s="84"/>
      <c r="F158" s="84"/>
      <c r="G158" s="84"/>
    </row>
    <row r="159" spans="1:7" ht="12.75">
      <c r="A159" s="84"/>
      <c r="B159" s="84"/>
      <c r="C159" s="84"/>
      <c r="D159" s="84"/>
      <c r="E159" s="84"/>
      <c r="F159" s="84"/>
      <c r="G159" s="84"/>
    </row>
    <row r="160" spans="1:7" ht="12.75">
      <c r="A160" s="84" t="s">
        <v>1</v>
      </c>
      <c r="B160" s="84"/>
      <c r="C160" s="111" t="s">
        <v>14</v>
      </c>
      <c r="D160" s="125">
        <f>D17</f>
        <v>2400</v>
      </c>
      <c r="E160" s="84"/>
      <c r="F160" s="84"/>
      <c r="G160" s="84"/>
    </row>
    <row r="161" spans="1:7" ht="12.75">
      <c r="A161" s="84" t="s">
        <v>2</v>
      </c>
      <c r="B161" s="84"/>
      <c r="C161" s="111" t="s">
        <v>14</v>
      </c>
      <c r="D161" s="125">
        <f>D18</f>
        <v>1400</v>
      </c>
      <c r="E161" s="84"/>
      <c r="F161" s="84"/>
      <c r="G161" s="84"/>
    </row>
    <row r="162" spans="1:8" s="65" customFormat="1" ht="15">
      <c r="A162" s="84" t="s">
        <v>49</v>
      </c>
      <c r="B162" s="84"/>
      <c r="C162" s="111" t="s">
        <v>14</v>
      </c>
      <c r="D162" s="115">
        <f>D23-D37</f>
        <v>16000</v>
      </c>
      <c r="E162" s="86"/>
      <c r="F162" s="86"/>
      <c r="G162" s="86"/>
      <c r="H162" s="152"/>
    </row>
    <row r="163" spans="1:8" s="65" customFormat="1" ht="15">
      <c r="A163" s="86"/>
      <c r="B163" s="120"/>
      <c r="C163" s="126"/>
      <c r="D163" s="127"/>
      <c r="E163" s="86"/>
      <c r="F163" s="86"/>
      <c r="G163" s="86"/>
      <c r="H163" s="152"/>
    </row>
    <row r="164" spans="1:8" s="65" customFormat="1" ht="12.75">
      <c r="A164" s="86" t="s">
        <v>50</v>
      </c>
      <c r="B164" s="86"/>
      <c r="C164" s="118" t="s">
        <v>14</v>
      </c>
      <c r="D164" s="97">
        <f>SUM(D160:D162)</f>
        <v>19800</v>
      </c>
      <c r="E164" s="86"/>
      <c r="F164" s="86"/>
      <c r="G164" s="86"/>
      <c r="H164" s="152"/>
    </row>
    <row r="165" spans="1:8" s="65" customFormat="1" ht="12.75">
      <c r="A165" s="86"/>
      <c r="B165" s="86"/>
      <c r="C165" s="86"/>
      <c r="D165" s="86"/>
      <c r="E165" s="86"/>
      <c r="F165" s="86"/>
      <c r="G165" s="86"/>
      <c r="H165" s="152"/>
    </row>
    <row r="166" spans="1:8" s="65" customFormat="1" ht="12.75">
      <c r="A166" s="86" t="s">
        <v>51</v>
      </c>
      <c r="B166" s="86"/>
      <c r="C166" s="118" t="s">
        <v>14</v>
      </c>
      <c r="D166" s="86" t="s">
        <v>52</v>
      </c>
      <c r="E166" s="86"/>
      <c r="F166" s="86"/>
      <c r="G166" s="86"/>
      <c r="H166" s="152"/>
    </row>
    <row r="167" spans="1:8" s="65" customFormat="1" ht="12.75">
      <c r="A167" s="86"/>
      <c r="B167" s="86"/>
      <c r="C167" s="118" t="s">
        <v>14</v>
      </c>
      <c r="D167" s="97">
        <f>ROUNDUP(D164/B157/B156,2)</f>
        <v>7.4399999999999995</v>
      </c>
      <c r="E167" s="86"/>
      <c r="F167" s="86"/>
      <c r="G167" s="86"/>
      <c r="H167" s="152"/>
    </row>
    <row r="168" spans="1:8" s="65" customFormat="1" ht="12.75">
      <c r="A168" s="86"/>
      <c r="B168" s="86"/>
      <c r="C168" s="118"/>
      <c r="D168" s="128"/>
      <c r="E168" s="86"/>
      <c r="F168" s="86"/>
      <c r="G168" s="86"/>
      <c r="H168" s="152"/>
    </row>
    <row r="169" spans="1:9" s="70" customFormat="1" ht="12.75">
      <c r="A169" s="175" t="s">
        <v>53</v>
      </c>
      <c r="B169" s="174"/>
      <c r="C169" s="174"/>
      <c r="D169" s="174"/>
      <c r="E169" s="174"/>
      <c r="F169" s="174"/>
      <c r="G169" s="174"/>
      <c r="H169" s="157"/>
      <c r="I169" s="80"/>
    </row>
    <row r="170" spans="1:9" s="70" customFormat="1" ht="12.75">
      <c r="A170" s="174"/>
      <c r="B170" s="174"/>
      <c r="C170" s="174"/>
      <c r="D170" s="174"/>
      <c r="E170" s="174"/>
      <c r="F170" s="174"/>
      <c r="G170" s="174"/>
      <c r="H170" s="157"/>
      <c r="I170" s="80"/>
    </row>
    <row r="171" spans="1:8" s="70" customFormat="1" ht="12.75">
      <c r="A171" s="88"/>
      <c r="B171" s="88"/>
      <c r="C171" s="129"/>
      <c r="D171" s="88"/>
      <c r="E171" s="88"/>
      <c r="F171" s="88"/>
      <c r="G171" s="88"/>
      <c r="H171" s="155"/>
    </row>
    <row r="172" spans="1:9" s="70" customFormat="1" ht="12.75">
      <c r="A172" s="91" t="s">
        <v>55</v>
      </c>
      <c r="B172" s="80"/>
      <c r="C172" s="80"/>
      <c r="D172" s="80"/>
      <c r="E172" s="80"/>
      <c r="F172" s="80"/>
      <c r="G172" s="80"/>
      <c r="H172" s="157"/>
      <c r="I172" s="80"/>
    </row>
    <row r="173" spans="1:9" s="70" customFormat="1" ht="12.75">
      <c r="A173" s="80"/>
      <c r="B173" s="80"/>
      <c r="C173" s="80"/>
      <c r="D173" s="80"/>
      <c r="E173" s="80"/>
      <c r="F173" s="80"/>
      <c r="G173" s="80"/>
      <c r="H173" s="157"/>
      <c r="I173" s="80"/>
    </row>
    <row r="174" spans="1:8" s="70" customFormat="1" ht="12.75">
      <c r="A174" s="88"/>
      <c r="B174" s="88"/>
      <c r="C174" s="88"/>
      <c r="D174" s="88"/>
      <c r="E174" s="88"/>
      <c r="F174" s="88"/>
      <c r="G174" s="88"/>
      <c r="H174" s="155"/>
    </row>
    <row r="175" spans="1:7" ht="12.75">
      <c r="A175" s="109" t="s">
        <v>156</v>
      </c>
      <c r="B175" s="122"/>
      <c r="C175" s="84"/>
      <c r="D175" s="84"/>
      <c r="E175" s="84"/>
      <c r="F175" s="84"/>
      <c r="G175" s="84"/>
    </row>
    <row r="176" spans="1:7" ht="12.75">
      <c r="A176" s="84"/>
      <c r="B176" s="84"/>
      <c r="C176" s="84"/>
      <c r="D176" s="84"/>
      <c r="E176" s="84"/>
      <c r="F176" s="84"/>
      <c r="G176" s="84"/>
    </row>
    <row r="177" spans="1:9" ht="12.75">
      <c r="A177" s="176" t="s">
        <v>167</v>
      </c>
      <c r="B177" s="174"/>
      <c r="C177" s="174"/>
      <c r="D177" s="174"/>
      <c r="E177" s="174"/>
      <c r="F177" s="174"/>
      <c r="G177" s="174"/>
      <c r="H177" s="148"/>
      <c r="I177" s="81"/>
    </row>
    <row r="178" spans="1:9" ht="12.75">
      <c r="A178" s="174"/>
      <c r="B178" s="174"/>
      <c r="C178" s="174"/>
      <c r="D178" s="174"/>
      <c r="E178" s="174"/>
      <c r="F178" s="174"/>
      <c r="G178" s="174"/>
      <c r="H178" s="148"/>
      <c r="I178" s="81"/>
    </row>
    <row r="179" spans="1:9" ht="12.75">
      <c r="A179" s="174"/>
      <c r="B179" s="174"/>
      <c r="C179" s="174"/>
      <c r="D179" s="174"/>
      <c r="E179" s="174"/>
      <c r="F179" s="174"/>
      <c r="G179" s="174"/>
      <c r="H179" s="148"/>
      <c r="I179" s="81"/>
    </row>
    <row r="180" spans="1:9" ht="12.75">
      <c r="A180" s="174"/>
      <c r="B180" s="174"/>
      <c r="C180" s="174"/>
      <c r="D180" s="174"/>
      <c r="E180" s="174"/>
      <c r="F180" s="174"/>
      <c r="G180" s="174"/>
      <c r="H180" s="148"/>
      <c r="I180" s="81"/>
    </row>
    <row r="181" spans="1:9" ht="12.75">
      <c r="A181" s="81"/>
      <c r="B181" s="81"/>
      <c r="C181" s="81"/>
      <c r="D181" s="81"/>
      <c r="E181" s="81"/>
      <c r="F181" s="81"/>
      <c r="G181" s="81"/>
      <c r="H181" s="148"/>
      <c r="I181" s="81"/>
    </row>
    <row r="182" spans="1:9" ht="12.75">
      <c r="A182" s="81"/>
      <c r="B182" s="81"/>
      <c r="C182" s="81"/>
      <c r="D182" s="81"/>
      <c r="E182" s="81"/>
      <c r="F182" s="81"/>
      <c r="G182" s="81"/>
      <c r="H182" s="148"/>
      <c r="I182" s="61"/>
    </row>
    <row r="183" spans="1:7" ht="12.75">
      <c r="A183" s="84"/>
      <c r="B183" s="84"/>
      <c r="C183" s="84"/>
      <c r="D183" s="84"/>
      <c r="E183" s="84"/>
      <c r="F183" s="84"/>
      <c r="G183" s="84"/>
    </row>
    <row r="184" spans="1:9" ht="12.75" customHeight="1">
      <c r="A184" s="84" t="s">
        <v>56</v>
      </c>
      <c r="B184" s="111"/>
      <c r="C184" s="111" t="s">
        <v>14</v>
      </c>
      <c r="D184" s="176" t="s">
        <v>127</v>
      </c>
      <c r="E184" s="174"/>
      <c r="F184" s="174"/>
      <c r="G184" s="174"/>
      <c r="H184" s="148"/>
      <c r="I184" s="81"/>
    </row>
    <row r="185" spans="1:9" ht="17.25" customHeight="1">
      <c r="A185" s="84"/>
      <c r="B185" s="84"/>
      <c r="C185" s="81"/>
      <c r="D185" s="174"/>
      <c r="E185" s="174"/>
      <c r="F185" s="174"/>
      <c r="G185" s="174"/>
      <c r="H185" s="148"/>
      <c r="I185" s="81"/>
    </row>
    <row r="186" spans="1:7" ht="12.75">
      <c r="A186" s="84"/>
      <c r="B186" s="84"/>
      <c r="C186" s="84"/>
      <c r="D186" s="84"/>
      <c r="E186" s="84"/>
      <c r="F186" s="84"/>
      <c r="G186" s="84"/>
    </row>
    <row r="187" spans="1:7" ht="12.75">
      <c r="A187" s="84"/>
      <c r="B187" s="84" t="s">
        <v>57</v>
      </c>
      <c r="C187" s="84"/>
      <c r="D187" s="84" t="s">
        <v>58</v>
      </c>
      <c r="E187" s="84"/>
      <c r="F187" s="84"/>
      <c r="G187" s="84"/>
    </row>
    <row r="188" spans="1:7" ht="12.75">
      <c r="A188" s="84"/>
      <c r="B188" s="84"/>
      <c r="C188" s="84"/>
      <c r="D188" s="84" t="s">
        <v>60</v>
      </c>
      <c r="E188" s="84"/>
      <c r="F188" s="84"/>
      <c r="G188" s="84"/>
    </row>
    <row r="189" spans="1:7" ht="12.75">
      <c r="A189" s="84"/>
      <c r="B189" s="84"/>
      <c r="C189" s="84"/>
      <c r="D189" s="84" t="s">
        <v>59</v>
      </c>
      <c r="E189" s="84"/>
      <c r="F189" s="84"/>
      <c r="G189" s="84"/>
    </row>
    <row r="190" spans="1:9" ht="12.75">
      <c r="A190" s="84"/>
      <c r="B190" s="84"/>
      <c r="C190" s="81"/>
      <c r="D190" s="176" t="s">
        <v>128</v>
      </c>
      <c r="E190" s="174"/>
      <c r="F190" s="174"/>
      <c r="G190" s="174"/>
      <c r="H190" s="148"/>
      <c r="I190" s="81"/>
    </row>
    <row r="191" spans="1:9" ht="12.75">
      <c r="A191" s="84"/>
      <c r="B191" s="84"/>
      <c r="C191" s="81"/>
      <c r="D191" s="174"/>
      <c r="E191" s="174"/>
      <c r="F191" s="174"/>
      <c r="G191" s="174"/>
      <c r="H191" s="148"/>
      <c r="I191" s="81"/>
    </row>
    <row r="192" spans="1:9" ht="12.75">
      <c r="A192" s="84"/>
      <c r="B192" s="84"/>
      <c r="C192" s="81"/>
      <c r="D192" s="174"/>
      <c r="E192" s="174"/>
      <c r="F192" s="174"/>
      <c r="G192" s="174"/>
      <c r="H192" s="148"/>
      <c r="I192" s="81"/>
    </row>
    <row r="193" spans="1:9" ht="12.75">
      <c r="A193" s="84"/>
      <c r="B193" s="84"/>
      <c r="C193" s="81"/>
      <c r="D193" s="176" t="s">
        <v>129</v>
      </c>
      <c r="E193" s="174"/>
      <c r="F193" s="174"/>
      <c r="G193" s="174"/>
      <c r="H193" s="148"/>
      <c r="I193" s="81"/>
    </row>
    <row r="194" spans="1:9" ht="12.75">
      <c r="A194" s="84"/>
      <c r="B194" s="84"/>
      <c r="C194" s="81"/>
      <c r="D194" s="174"/>
      <c r="E194" s="174"/>
      <c r="F194" s="174"/>
      <c r="G194" s="174"/>
      <c r="H194" s="148"/>
      <c r="I194" s="81"/>
    </row>
    <row r="195" spans="1:9" ht="12.75">
      <c r="A195" s="84"/>
      <c r="B195" s="84"/>
      <c r="C195" s="81"/>
      <c r="D195" s="174"/>
      <c r="E195" s="174"/>
      <c r="F195" s="174"/>
      <c r="G195" s="174"/>
      <c r="H195" s="148"/>
      <c r="I195" s="81"/>
    </row>
    <row r="196" spans="1:7" ht="12.75">
      <c r="A196" s="84"/>
      <c r="B196" s="84"/>
      <c r="C196" s="84"/>
      <c r="D196" s="84" t="s">
        <v>61</v>
      </c>
      <c r="E196" s="84"/>
      <c r="F196" s="84"/>
      <c r="G196" s="84"/>
    </row>
    <row r="197" spans="1:7" ht="12.75">
      <c r="A197" s="84"/>
      <c r="B197" s="84"/>
      <c r="C197" s="84"/>
      <c r="D197" s="84"/>
      <c r="E197" s="84"/>
      <c r="F197" s="84"/>
      <c r="G197" s="84"/>
    </row>
    <row r="198" spans="1:15" ht="12.75">
      <c r="A198" s="84"/>
      <c r="B198" s="111"/>
      <c r="C198" s="111" t="s">
        <v>14</v>
      </c>
      <c r="D198" s="189" t="str">
        <f>TEXT(D123,"$0.0000")&amp;" x 1000 + [("&amp;TEXT(D131,"$0.0000")&amp;" x ("&amp;TEXT(D109,"000")&amp;" mg/l) x (0.00834)] + [("&amp;TEXT(D139,"$0.0000")&amp;") x ("&amp;TEXT(D110,"000")&amp;" mg/l) x (0.00834)]"</f>
        <v>$0.0003 x 1000 + [($0.1022 x (250 mg/l) x (0.00834)] + [($0.0852) x (300 mg/l) x (0.00834)]</v>
      </c>
      <c r="E198" s="174"/>
      <c r="F198" s="174"/>
      <c r="G198" s="174"/>
      <c r="H198" s="158"/>
      <c r="I198" s="82"/>
      <c r="K198" s="187"/>
      <c r="L198" s="188"/>
      <c r="M198" s="188"/>
      <c r="N198" s="188"/>
      <c r="O198" s="188"/>
    </row>
    <row r="199" spans="1:15" ht="12.75">
      <c r="A199" s="84"/>
      <c r="B199" s="84"/>
      <c r="C199" s="81"/>
      <c r="D199" s="174"/>
      <c r="E199" s="174"/>
      <c r="F199" s="174"/>
      <c r="G199" s="174"/>
      <c r="H199" s="158"/>
      <c r="I199" s="82"/>
      <c r="K199" s="188"/>
      <c r="L199" s="188"/>
      <c r="M199" s="188"/>
      <c r="N199" s="188"/>
      <c r="O199" s="188"/>
    </row>
    <row r="200" spans="1:7" ht="12.75">
      <c r="A200" s="84"/>
      <c r="B200" s="84"/>
      <c r="C200" s="84"/>
      <c r="D200" s="84"/>
      <c r="E200" s="84"/>
      <c r="F200" s="84"/>
      <c r="G200" s="84"/>
    </row>
    <row r="201" spans="1:7" ht="12.75">
      <c r="A201" s="84"/>
      <c r="B201" s="111"/>
      <c r="C201" s="111" t="s">
        <v>14</v>
      </c>
      <c r="D201" s="130">
        <f>ROUNDUP(D123*1000+(D131*D109*0.00834)+(D139*D110*0.00834),2)</f>
        <v>0.72</v>
      </c>
      <c r="E201" s="84"/>
      <c r="F201" s="84" t="s">
        <v>175</v>
      </c>
      <c r="G201" s="84"/>
    </row>
    <row r="202" spans="1:7" ht="12.75">
      <c r="A202" s="84"/>
      <c r="B202" s="84"/>
      <c r="C202" s="84"/>
      <c r="D202" s="84"/>
      <c r="E202" s="84"/>
      <c r="F202" s="84"/>
      <c r="G202" s="84"/>
    </row>
    <row r="203" spans="1:8" s="70" customFormat="1" ht="12.75">
      <c r="A203" s="131" t="s">
        <v>62</v>
      </c>
      <c r="B203" s="88"/>
      <c r="C203" s="88"/>
      <c r="D203" s="88"/>
      <c r="E203" s="88"/>
      <c r="F203" s="88"/>
      <c r="G203" s="88"/>
      <c r="H203" s="155"/>
    </row>
    <row r="204" spans="1:8" s="70" customFormat="1" ht="12.75">
      <c r="A204" s="131"/>
      <c r="B204" s="88"/>
      <c r="C204" s="88"/>
      <c r="D204" s="88"/>
      <c r="E204" s="88"/>
      <c r="F204" s="88"/>
      <c r="G204" s="88"/>
      <c r="H204" s="155"/>
    </row>
    <row r="205" spans="1:7" ht="12.75">
      <c r="A205" s="114" t="s">
        <v>74</v>
      </c>
      <c r="B205" s="84"/>
      <c r="C205" s="84"/>
      <c r="D205" s="84"/>
      <c r="E205" s="84"/>
      <c r="F205" s="84"/>
      <c r="G205" s="84"/>
    </row>
    <row r="206" spans="1:8" s="70" customFormat="1" ht="12.75">
      <c r="A206" s="131"/>
      <c r="B206" s="88"/>
      <c r="C206" s="88"/>
      <c r="D206" s="88"/>
      <c r="E206" s="88"/>
      <c r="F206" s="88"/>
      <c r="G206" s="88"/>
      <c r="H206" s="155"/>
    </row>
    <row r="207" spans="1:8" s="70" customFormat="1" ht="12.75">
      <c r="A207" s="131"/>
      <c r="B207" s="132" t="s">
        <v>70</v>
      </c>
      <c r="C207" s="129" t="s">
        <v>14</v>
      </c>
      <c r="D207" s="133">
        <v>5000</v>
      </c>
      <c r="E207" s="88" t="s">
        <v>71</v>
      </c>
      <c r="F207" s="88"/>
      <c r="G207" s="88"/>
      <c r="H207" s="155"/>
    </row>
    <row r="208" spans="1:8" s="70" customFormat="1" ht="12.75">
      <c r="A208" s="131"/>
      <c r="B208" s="88"/>
      <c r="C208" s="88"/>
      <c r="D208" s="88"/>
      <c r="E208" s="88"/>
      <c r="F208" s="88"/>
      <c r="G208" s="88"/>
      <c r="H208" s="155"/>
    </row>
    <row r="209" spans="1:8" s="73" customFormat="1" ht="12.75">
      <c r="A209" s="131"/>
      <c r="B209" s="162"/>
      <c r="C209" s="162" t="str">
        <f>TEXT(D167,"$0.00")&amp;" + [("&amp;TEXT(D207,"#,###")&amp;"/1,000) x "&amp;TEXT(D201,"$0.00")&amp;"] ="</f>
        <v>$7.44 + [(5,000/1,000) x $0.72] =</v>
      </c>
      <c r="D209" s="163" t="str">
        <f>TEXT(D167+(D207/1000)*D201,"$0.00")&amp;" per month"</f>
        <v>$11.04 per month</v>
      </c>
      <c r="E209" s="134"/>
      <c r="F209" s="164"/>
      <c r="G209" s="90"/>
      <c r="H209" s="159"/>
    </row>
    <row r="210" spans="1:8" s="70" customFormat="1" ht="12.75">
      <c r="A210" s="131"/>
      <c r="B210" s="88"/>
      <c r="C210" s="88"/>
      <c r="D210" s="88"/>
      <c r="E210" s="88"/>
      <c r="F210" s="88"/>
      <c r="G210" s="88"/>
      <c r="H210" s="155"/>
    </row>
    <row r="211" spans="1:8" s="70" customFormat="1" ht="12.75">
      <c r="A211" s="131"/>
      <c r="B211" s="88"/>
      <c r="C211" s="88"/>
      <c r="D211" s="88"/>
      <c r="E211" s="88"/>
      <c r="F211" s="88"/>
      <c r="G211" s="88"/>
      <c r="H211" s="155"/>
    </row>
    <row r="212" spans="1:8" s="70" customFormat="1" ht="12.75">
      <c r="A212" s="88"/>
      <c r="B212" s="88"/>
      <c r="C212" s="88"/>
      <c r="D212" s="88"/>
      <c r="E212" s="88"/>
      <c r="F212" s="88"/>
      <c r="G212" s="88"/>
      <c r="H212" s="155"/>
    </row>
    <row r="213" spans="1:7" ht="12.75">
      <c r="A213" s="109" t="s">
        <v>63</v>
      </c>
      <c r="B213" s="122"/>
      <c r="C213" s="84"/>
      <c r="D213" s="84"/>
      <c r="E213" s="84"/>
      <c r="F213" s="84"/>
      <c r="G213" s="84"/>
    </row>
    <row r="214" spans="1:7" ht="12.75">
      <c r="A214" s="84"/>
      <c r="B214" s="84"/>
      <c r="C214" s="84"/>
      <c r="D214" s="84"/>
      <c r="E214" s="84"/>
      <c r="F214" s="84"/>
      <c r="G214" s="84"/>
    </row>
    <row r="215" spans="1:10" ht="12.75">
      <c r="A215" s="176" t="s">
        <v>64</v>
      </c>
      <c r="B215" s="174"/>
      <c r="C215" s="174"/>
      <c r="D215" s="174"/>
      <c r="E215" s="174"/>
      <c r="F215" s="174"/>
      <c r="G215" s="174"/>
      <c r="H215" s="148"/>
      <c r="I215" s="81"/>
      <c r="J215" s="81"/>
    </row>
    <row r="216" spans="1:10" ht="12.75">
      <c r="A216" s="174"/>
      <c r="B216" s="174"/>
      <c r="C216" s="174"/>
      <c r="D216" s="174"/>
      <c r="E216" s="174"/>
      <c r="F216" s="174"/>
      <c r="G216" s="174"/>
      <c r="H216" s="148"/>
      <c r="I216" s="81"/>
      <c r="J216" s="81"/>
    </row>
    <row r="217" spans="1:7" ht="12.75">
      <c r="A217" s="84"/>
      <c r="B217" s="84"/>
      <c r="C217" s="110"/>
      <c r="D217" s="84"/>
      <c r="E217" s="84"/>
      <c r="F217" s="84"/>
      <c r="G217" s="84"/>
    </row>
    <row r="218" spans="1:10" ht="12.75">
      <c r="A218" s="176" t="s">
        <v>65</v>
      </c>
      <c r="B218" s="84"/>
      <c r="C218" s="111" t="s">
        <v>14</v>
      </c>
      <c r="D218" s="176" t="s">
        <v>130</v>
      </c>
      <c r="E218" s="174"/>
      <c r="F218" s="174"/>
      <c r="G218" s="174"/>
      <c r="H218" s="148"/>
      <c r="I218" s="81"/>
      <c r="J218" s="81"/>
    </row>
    <row r="219" spans="1:10" ht="12.75">
      <c r="A219" s="176"/>
      <c r="B219" s="84"/>
      <c r="C219" s="110"/>
      <c r="D219" s="174"/>
      <c r="E219" s="174"/>
      <c r="F219" s="174"/>
      <c r="G219" s="174"/>
      <c r="H219" s="148"/>
      <c r="I219" s="81"/>
      <c r="J219" s="81"/>
    </row>
    <row r="220" spans="1:10" ht="12.75">
      <c r="A220" s="84"/>
      <c r="B220" s="84"/>
      <c r="C220" s="110"/>
      <c r="D220" s="174"/>
      <c r="E220" s="174"/>
      <c r="F220" s="174"/>
      <c r="G220" s="174"/>
      <c r="H220" s="148"/>
      <c r="I220" s="81"/>
      <c r="J220" s="81"/>
    </row>
    <row r="221" spans="1:10" ht="12.75">
      <c r="A221" s="84"/>
      <c r="B221" s="84"/>
      <c r="C221" s="110"/>
      <c r="D221" s="77"/>
      <c r="E221" s="77"/>
      <c r="F221" s="77"/>
      <c r="G221" s="77"/>
      <c r="H221" s="149"/>
      <c r="I221" s="77"/>
      <c r="J221" s="77"/>
    </row>
    <row r="222" spans="1:7" ht="12.75">
      <c r="A222" s="84"/>
      <c r="B222" s="84"/>
      <c r="C222" s="110"/>
      <c r="D222" s="84"/>
      <c r="E222" s="84"/>
      <c r="F222" s="84"/>
      <c r="G222" s="84"/>
    </row>
    <row r="223" spans="1:10" ht="12.75">
      <c r="A223" s="176" t="s">
        <v>65</v>
      </c>
      <c r="B223" s="84"/>
      <c r="C223" s="111" t="s">
        <v>14</v>
      </c>
      <c r="D223" s="177" t="s">
        <v>131</v>
      </c>
      <c r="E223" s="174"/>
      <c r="F223" s="174"/>
      <c r="G223" s="174"/>
      <c r="H223" s="148"/>
      <c r="I223" s="81"/>
      <c r="J223" s="81"/>
    </row>
    <row r="224" spans="1:10" ht="12.75">
      <c r="A224" s="176"/>
      <c r="B224" s="84"/>
      <c r="C224" s="110"/>
      <c r="D224" s="174"/>
      <c r="E224" s="174"/>
      <c r="F224" s="174"/>
      <c r="G224" s="174"/>
      <c r="H224" s="148"/>
      <c r="I224" s="81"/>
      <c r="J224" s="81"/>
    </row>
    <row r="225" spans="1:10" ht="12.75">
      <c r="A225" s="84"/>
      <c r="B225" s="84"/>
      <c r="C225" s="110"/>
      <c r="D225" s="174"/>
      <c r="E225" s="174"/>
      <c r="F225" s="174"/>
      <c r="G225" s="174"/>
      <c r="H225" s="148"/>
      <c r="I225" s="81"/>
      <c r="J225" s="81"/>
    </row>
    <row r="226" spans="1:10" ht="12.75">
      <c r="A226" s="84"/>
      <c r="B226" s="84"/>
      <c r="C226" s="110"/>
      <c r="D226" s="174"/>
      <c r="E226" s="174"/>
      <c r="F226" s="174"/>
      <c r="G226" s="174"/>
      <c r="H226" s="148"/>
      <c r="I226" s="81"/>
      <c r="J226" s="81"/>
    </row>
    <row r="227" spans="1:10" ht="12.75">
      <c r="A227" s="84"/>
      <c r="B227" s="84"/>
      <c r="C227" s="110"/>
      <c r="D227" s="174"/>
      <c r="E227" s="174"/>
      <c r="F227" s="174"/>
      <c r="G227" s="174"/>
      <c r="H227" s="148"/>
      <c r="I227" s="81"/>
      <c r="J227" s="81"/>
    </row>
    <row r="228" spans="1:7" ht="12.75">
      <c r="A228" s="84"/>
      <c r="B228" s="84"/>
      <c r="C228" s="110"/>
      <c r="D228" s="84"/>
      <c r="E228" s="84"/>
      <c r="F228" s="84"/>
      <c r="G228" s="84"/>
    </row>
    <row r="229" spans="1:7" ht="12.75">
      <c r="A229" s="84"/>
      <c r="B229" s="84" t="s">
        <v>57</v>
      </c>
      <c r="C229" s="110"/>
      <c r="D229" s="84" t="s">
        <v>66</v>
      </c>
      <c r="E229" s="84"/>
      <c r="F229" s="84"/>
      <c r="G229" s="84"/>
    </row>
    <row r="230" spans="1:7" ht="12.75">
      <c r="A230" s="84"/>
      <c r="B230" s="84"/>
      <c r="C230" s="110"/>
      <c r="D230" s="84" t="s">
        <v>67</v>
      </c>
      <c r="E230" s="84"/>
      <c r="F230" s="84"/>
      <c r="G230" s="84"/>
    </row>
    <row r="231" spans="1:10" ht="12.75">
      <c r="A231" s="84"/>
      <c r="B231" s="84"/>
      <c r="C231" s="110"/>
      <c r="D231" s="176" t="s">
        <v>86</v>
      </c>
      <c r="E231" s="174"/>
      <c r="F231" s="174"/>
      <c r="G231" s="174"/>
      <c r="H231" s="148"/>
      <c r="I231" s="81"/>
      <c r="J231" s="81"/>
    </row>
    <row r="232" spans="1:10" ht="12.75">
      <c r="A232" s="84"/>
      <c r="B232" s="84"/>
      <c r="C232" s="110"/>
      <c r="D232" s="174"/>
      <c r="E232" s="174"/>
      <c r="F232" s="174"/>
      <c r="G232" s="174"/>
      <c r="H232" s="148"/>
      <c r="I232" s="81"/>
      <c r="J232" s="81"/>
    </row>
    <row r="233" spans="1:7" ht="12.75">
      <c r="A233" s="84"/>
      <c r="B233" s="84"/>
      <c r="C233" s="110"/>
      <c r="D233" s="176" t="s">
        <v>68</v>
      </c>
      <c r="E233" s="176"/>
      <c r="F233" s="176"/>
      <c r="G233" s="176"/>
    </row>
    <row r="234" spans="1:7" ht="12.75">
      <c r="A234" s="84"/>
      <c r="B234" s="84"/>
      <c r="C234" s="110"/>
      <c r="D234" s="176"/>
      <c r="E234" s="176"/>
      <c r="F234" s="176"/>
      <c r="G234" s="176"/>
    </row>
    <row r="235" spans="1:7" ht="12.75">
      <c r="A235" s="84"/>
      <c r="B235" s="84"/>
      <c r="C235" s="110"/>
      <c r="D235" s="84" t="s">
        <v>87</v>
      </c>
      <c r="E235" s="84"/>
      <c r="F235" s="84"/>
      <c r="G235" s="84"/>
    </row>
    <row r="236" spans="1:7" ht="12.75">
      <c r="A236" s="84"/>
      <c r="B236" s="84"/>
      <c r="C236" s="110"/>
      <c r="D236" s="84" t="s">
        <v>88</v>
      </c>
      <c r="E236" s="84"/>
      <c r="F236" s="84"/>
      <c r="G236" s="84"/>
    </row>
    <row r="237" spans="1:10" ht="12.75">
      <c r="A237" s="84"/>
      <c r="B237" s="84"/>
      <c r="C237" s="110"/>
      <c r="D237" s="176" t="s">
        <v>132</v>
      </c>
      <c r="E237" s="174"/>
      <c r="F237" s="174"/>
      <c r="G237" s="174"/>
      <c r="H237" s="148"/>
      <c r="I237" s="81"/>
      <c r="J237" s="81"/>
    </row>
    <row r="238" spans="1:10" ht="12.75">
      <c r="A238" s="84"/>
      <c r="B238" s="84"/>
      <c r="C238" s="110"/>
      <c r="D238" s="174"/>
      <c r="E238" s="174"/>
      <c r="F238" s="174"/>
      <c r="G238" s="174"/>
      <c r="H238" s="148"/>
      <c r="I238" s="81"/>
      <c r="J238" s="81"/>
    </row>
    <row r="239" spans="1:10" ht="12.75">
      <c r="A239" s="84"/>
      <c r="B239" s="84"/>
      <c r="C239" s="110"/>
      <c r="D239" s="174"/>
      <c r="E239" s="174"/>
      <c r="F239" s="174"/>
      <c r="G239" s="174"/>
      <c r="H239" s="149"/>
      <c r="I239" s="77"/>
      <c r="J239" s="77"/>
    </row>
    <row r="240" spans="1:10" ht="12.75">
      <c r="A240" s="84"/>
      <c r="B240" s="84"/>
      <c r="C240" s="110"/>
      <c r="D240" s="176" t="s">
        <v>133</v>
      </c>
      <c r="E240" s="174"/>
      <c r="F240" s="174"/>
      <c r="G240" s="174"/>
      <c r="H240" s="148"/>
      <c r="I240" s="81"/>
      <c r="J240" s="81"/>
    </row>
    <row r="241" spans="1:10" ht="12.75">
      <c r="A241" s="84"/>
      <c r="B241" s="84"/>
      <c r="C241" s="110"/>
      <c r="D241" s="174"/>
      <c r="E241" s="174"/>
      <c r="F241" s="174"/>
      <c r="G241" s="174"/>
      <c r="H241" s="148"/>
      <c r="I241" s="81"/>
      <c r="J241" s="81"/>
    </row>
    <row r="242" spans="1:10" ht="12.75">
      <c r="A242" s="84"/>
      <c r="B242" s="84"/>
      <c r="C242" s="110"/>
      <c r="D242" s="174"/>
      <c r="E242" s="174"/>
      <c r="F242" s="174"/>
      <c r="G242" s="174"/>
      <c r="H242" s="149"/>
      <c r="I242" s="77"/>
      <c r="J242" s="77"/>
    </row>
    <row r="243" spans="1:10" ht="12.75" customHeight="1">
      <c r="A243" s="84"/>
      <c r="B243" s="84"/>
      <c r="C243" s="110"/>
      <c r="D243" s="176" t="s">
        <v>134</v>
      </c>
      <c r="E243" s="174"/>
      <c r="F243" s="174"/>
      <c r="G243" s="174"/>
      <c r="H243" s="148"/>
      <c r="I243" s="81"/>
      <c r="J243" s="81"/>
    </row>
    <row r="244" spans="1:10" ht="12.75">
      <c r="A244" s="84"/>
      <c r="B244" s="84"/>
      <c r="C244" s="110"/>
      <c r="D244" s="174"/>
      <c r="E244" s="174"/>
      <c r="F244" s="174"/>
      <c r="G244" s="174"/>
      <c r="H244" s="148"/>
      <c r="I244" s="81"/>
      <c r="J244" s="81"/>
    </row>
    <row r="245" spans="1:10" ht="12.75">
      <c r="A245" s="84"/>
      <c r="B245" s="84"/>
      <c r="C245" s="111"/>
      <c r="D245" s="176" t="s">
        <v>135</v>
      </c>
      <c r="E245" s="174"/>
      <c r="F245" s="174"/>
      <c r="G245" s="174"/>
      <c r="H245" s="148"/>
      <c r="I245" s="81"/>
      <c r="J245" s="81"/>
    </row>
    <row r="246" spans="1:10" ht="12.75">
      <c r="A246" s="84"/>
      <c r="B246" s="84"/>
      <c r="C246" s="111"/>
      <c r="D246" s="174"/>
      <c r="E246" s="174"/>
      <c r="F246" s="174"/>
      <c r="G246" s="174"/>
      <c r="H246" s="148"/>
      <c r="I246" s="81"/>
      <c r="J246" s="81"/>
    </row>
    <row r="247" spans="1:7" ht="12.75">
      <c r="A247" s="84"/>
      <c r="B247" s="84"/>
      <c r="C247" s="111"/>
      <c r="D247" s="84" t="s">
        <v>61</v>
      </c>
      <c r="E247" s="84"/>
      <c r="F247" s="84"/>
      <c r="G247" s="84"/>
    </row>
    <row r="248" spans="1:7" ht="12.75">
      <c r="A248" s="84"/>
      <c r="B248" s="84"/>
      <c r="C248" s="111"/>
      <c r="D248" s="84"/>
      <c r="E248" s="84"/>
      <c r="F248" s="84"/>
      <c r="G248" s="84"/>
    </row>
    <row r="249" spans="1:7" ht="12.75">
      <c r="A249" s="84" t="s">
        <v>69</v>
      </c>
      <c r="B249" s="84"/>
      <c r="C249" s="111"/>
      <c r="D249" s="84"/>
      <c r="E249" s="84"/>
      <c r="F249" s="84"/>
      <c r="G249" s="84"/>
    </row>
    <row r="250" spans="1:7" ht="12.75">
      <c r="A250" s="84"/>
      <c r="B250" s="84"/>
      <c r="C250" s="111"/>
      <c r="D250" s="84"/>
      <c r="E250" s="84"/>
      <c r="F250" s="84"/>
      <c r="G250" s="84"/>
    </row>
    <row r="251" spans="1:7" ht="12.75">
      <c r="A251" s="84"/>
      <c r="B251" s="135" t="s">
        <v>70</v>
      </c>
      <c r="C251" s="111" t="s">
        <v>14</v>
      </c>
      <c r="D251" s="136">
        <v>30000</v>
      </c>
      <c r="E251" s="84" t="s">
        <v>71</v>
      </c>
      <c r="F251" s="84"/>
      <c r="G251" s="84"/>
    </row>
    <row r="252" spans="1:7" ht="15.75">
      <c r="A252" s="84"/>
      <c r="B252" s="135" t="s">
        <v>136</v>
      </c>
      <c r="C252" s="111" t="s">
        <v>14</v>
      </c>
      <c r="D252" s="84">
        <v>540</v>
      </c>
      <c r="E252" s="84" t="s">
        <v>72</v>
      </c>
      <c r="F252" s="84"/>
      <c r="G252" s="84"/>
    </row>
    <row r="253" spans="1:7" ht="15.75">
      <c r="A253" s="84"/>
      <c r="B253" s="135" t="s">
        <v>137</v>
      </c>
      <c r="C253" s="111" t="s">
        <v>14</v>
      </c>
      <c r="D253" s="84">
        <v>400</v>
      </c>
      <c r="E253" s="84" t="s">
        <v>72</v>
      </c>
      <c r="F253" s="84"/>
      <c r="G253" s="84"/>
    </row>
    <row r="254" spans="1:7" ht="12.75">
      <c r="A254" s="84"/>
      <c r="B254" s="84"/>
      <c r="C254" s="110"/>
      <c r="D254" s="84"/>
      <c r="E254" s="84"/>
      <c r="F254" s="84"/>
      <c r="G254" s="84"/>
    </row>
    <row r="255" spans="1:9" s="73" customFormat="1" ht="15" customHeight="1">
      <c r="A255" s="84"/>
      <c r="B255" s="135" t="s">
        <v>73</v>
      </c>
      <c r="C255" s="111" t="s">
        <v>14</v>
      </c>
      <c r="D255" s="177" t="str">
        <f>TEXT(D167,"$#,##0.00")&amp;" + [("&amp;TEXT(D251,"#,###")&amp;"/1000)("&amp;TEXT(D201,"$#,##0.00")&amp;")] + [("&amp;TEXT(D251,"#,###")&amp;"/1000)("&amp;TEXT(D131,"$##.00")&amp;")("&amp;TEXT(D252,"000")&amp;"  - "&amp;TEXT(D109,"000")&amp;")(0.00834)] + [("&amp;TEXT(D251,"#,###")&amp;"/1000)("&amp;TEXT(D139,"$#,##0.00")&amp;")("&amp;TEXT(D253,"000")&amp;"  - "&amp;TEXT(D110,"000")&amp;")(0.00834)]"</f>
        <v>$7.44 + [(30,000/1000)($0.72)] + [(30,000/1000)($.10)(540  - 250)(0.00834)] + [(30,000/1000)($0.09)(400  - 300)(0.00834)]</v>
      </c>
      <c r="E255" s="178"/>
      <c r="F255" s="178"/>
      <c r="G255" s="179"/>
      <c r="H255" s="160"/>
      <c r="I255" s="83"/>
    </row>
    <row r="256" spans="1:9" s="73" customFormat="1" ht="12.75" customHeight="1">
      <c r="A256" s="90"/>
      <c r="B256" s="90"/>
      <c r="C256" s="90"/>
      <c r="D256" s="178"/>
      <c r="E256" s="178"/>
      <c r="F256" s="178"/>
      <c r="G256" s="179"/>
      <c r="H256" s="160"/>
      <c r="I256" s="83"/>
    </row>
    <row r="257" spans="1:9" s="73" customFormat="1" ht="12" customHeight="1">
      <c r="A257" s="90"/>
      <c r="B257" s="90"/>
      <c r="C257" s="90"/>
      <c r="D257" s="180"/>
      <c r="E257" s="180"/>
      <c r="F257" s="180"/>
      <c r="G257" s="181"/>
      <c r="H257" s="161"/>
      <c r="I257" s="78"/>
    </row>
    <row r="258" spans="1:9" s="73" customFormat="1" ht="12" customHeight="1">
      <c r="A258" s="90"/>
      <c r="B258" s="90"/>
      <c r="C258" s="90"/>
      <c r="D258" s="146"/>
      <c r="E258" s="146"/>
      <c r="F258" s="146"/>
      <c r="G258" s="146"/>
      <c r="H258" s="161"/>
      <c r="I258" s="78"/>
    </row>
    <row r="259" spans="1:8" s="73" customFormat="1" ht="12.75">
      <c r="A259" s="90"/>
      <c r="B259" s="137" t="s">
        <v>73</v>
      </c>
      <c r="C259" s="138" t="s">
        <v>14</v>
      </c>
      <c r="D259" s="183" t="str">
        <f>TEXT(D167,"$#,##0.00")&amp;" + "&amp;TEXT(((D251/1000)*D201),"$#,##0.00")&amp;" + "&amp;TEXT(((D251/1000)*D131*(D252-D109)*0.00834),"$#,##0.00")&amp;" + "&amp;TEXT(((D251/1000)*D139*(D253-D110)*0.00834),"$#,##0.00")</f>
        <v>$7.44 + $21.60 + $7.41 + $2.13</v>
      </c>
      <c r="E259" s="183"/>
      <c r="F259" s="184"/>
      <c r="G259" s="184"/>
      <c r="H259" s="159"/>
    </row>
    <row r="260" spans="1:8" s="73" customFormat="1" ht="12.75">
      <c r="A260" s="90"/>
      <c r="B260" s="90"/>
      <c r="C260" s="90"/>
      <c r="D260" s="114"/>
      <c r="E260" s="114"/>
      <c r="F260" s="114"/>
      <c r="G260" s="114"/>
      <c r="H260" s="159"/>
    </row>
    <row r="261" spans="1:8" s="73" customFormat="1" ht="12.75">
      <c r="A261" s="90"/>
      <c r="B261" s="137" t="s">
        <v>73</v>
      </c>
      <c r="C261" s="138" t="s">
        <v>14</v>
      </c>
      <c r="D261" s="165">
        <f>ROUNDUP(D167+((D251/1000)*D201)+((D251/1000)*D131*(D252-D109)*0.00834)+((D251/1000)*D139*(D253-D110)*0.00834),2)</f>
        <v>38.589999999999996</v>
      </c>
      <c r="E261" s="114"/>
      <c r="F261" s="114"/>
      <c r="G261" s="114"/>
      <c r="H261" s="159"/>
    </row>
    <row r="262" spans="1:8" s="73" customFormat="1" ht="12.75">
      <c r="A262" s="182"/>
      <c r="B262" s="182"/>
      <c r="C262" s="90"/>
      <c r="D262" s="90"/>
      <c r="E262" s="90"/>
      <c r="F262" s="90"/>
      <c r="G262" s="90"/>
      <c r="H262" s="159"/>
    </row>
    <row r="263" spans="1:8" s="73" customFormat="1" ht="12.75">
      <c r="A263" s="90"/>
      <c r="B263" s="90"/>
      <c r="C263" s="90"/>
      <c r="D263" s="90"/>
      <c r="E263" s="90"/>
      <c r="F263" s="90"/>
      <c r="G263" s="90"/>
      <c r="H263" s="159"/>
    </row>
    <row r="264" spans="1:8" s="73" customFormat="1" ht="12.75">
      <c r="A264" s="90"/>
      <c r="B264" s="90"/>
      <c r="C264" s="90"/>
      <c r="D264" s="90"/>
      <c r="E264" s="90"/>
      <c r="F264" s="90"/>
      <c r="G264" s="90"/>
      <c r="H264" s="159"/>
    </row>
    <row r="265" spans="1:7" ht="12.75">
      <c r="A265" s="90"/>
      <c r="B265" s="197" t="s">
        <v>75</v>
      </c>
      <c r="C265" s="198"/>
      <c r="D265" s="198"/>
      <c r="E265" s="198"/>
      <c r="F265" s="84"/>
      <c r="G265" s="84"/>
    </row>
    <row r="266" spans="1:7" ht="12.75">
      <c r="A266" s="84"/>
      <c r="B266" s="84"/>
      <c r="C266" s="84"/>
      <c r="D266" s="84"/>
      <c r="E266" s="84"/>
      <c r="F266" s="84"/>
      <c r="G266" s="84"/>
    </row>
    <row r="267" spans="1:9" ht="12.75">
      <c r="A267" s="84"/>
      <c r="B267" s="135" t="s">
        <v>76</v>
      </c>
      <c r="C267" s="111" t="s">
        <v>14</v>
      </c>
      <c r="D267" s="176" t="s">
        <v>77</v>
      </c>
      <c r="E267" s="174"/>
      <c r="F267" s="174"/>
      <c r="G267" s="174"/>
      <c r="H267" s="148"/>
      <c r="I267" s="81"/>
    </row>
    <row r="268" spans="1:9" ht="12.75">
      <c r="A268" s="84"/>
      <c r="B268" s="84"/>
      <c r="C268" s="84"/>
      <c r="D268" s="174"/>
      <c r="E268" s="174"/>
      <c r="F268" s="174"/>
      <c r="G268" s="174"/>
      <c r="H268" s="148"/>
      <c r="I268" s="81"/>
    </row>
    <row r="269" spans="1:7" ht="12.75">
      <c r="A269" s="84"/>
      <c r="B269" s="84"/>
      <c r="C269" s="84"/>
      <c r="D269" s="84"/>
      <c r="E269" s="84"/>
      <c r="F269" s="84"/>
      <c r="G269" s="84"/>
    </row>
    <row r="270" spans="1:7" ht="12.75">
      <c r="A270" s="84"/>
      <c r="B270" s="135" t="s">
        <v>76</v>
      </c>
      <c r="C270" s="111" t="s">
        <v>14</v>
      </c>
      <c r="D270" s="84" t="str">
        <f>TEXT(D167,"$#,##0.00")&amp;" x "&amp;TEXT(B157,"#,##")&amp;" x "&amp;TEXT(B156,"#,###")</f>
        <v>$7.44 x 12 x 222</v>
      </c>
      <c r="E270" s="84"/>
      <c r="F270" s="84"/>
      <c r="G270" s="84"/>
    </row>
    <row r="271" spans="1:7" ht="12.75">
      <c r="A271" s="84"/>
      <c r="B271" s="84"/>
      <c r="C271" s="84"/>
      <c r="D271" s="84"/>
      <c r="E271" s="84"/>
      <c r="F271" s="84"/>
      <c r="G271" s="84"/>
    </row>
    <row r="272" spans="1:7" ht="12.75">
      <c r="A272" s="84"/>
      <c r="B272" s="139" t="s">
        <v>76</v>
      </c>
      <c r="C272" s="111" t="s">
        <v>14</v>
      </c>
      <c r="D272" s="140">
        <f>D167*B157*B156</f>
        <v>19820.16</v>
      </c>
      <c r="E272" s="84"/>
      <c r="F272" s="84"/>
      <c r="G272" s="84"/>
    </row>
    <row r="273" spans="1:7" ht="12.75">
      <c r="A273" s="84"/>
      <c r="B273" s="84"/>
      <c r="C273" s="84"/>
      <c r="D273" s="84"/>
      <c r="E273" s="84"/>
      <c r="F273" s="84"/>
      <c r="G273" s="84"/>
    </row>
    <row r="274" spans="1:7" ht="12.75" customHeight="1">
      <c r="A274" s="185" t="s">
        <v>78</v>
      </c>
      <c r="B274" s="186"/>
      <c r="C274" s="111" t="s">
        <v>14</v>
      </c>
      <c r="D274" s="84" t="s">
        <v>79</v>
      </c>
      <c r="E274" s="84"/>
      <c r="F274" s="84"/>
      <c r="G274" s="84"/>
    </row>
    <row r="275" spans="1:7" ht="12.75">
      <c r="A275" s="84"/>
      <c r="B275" s="84"/>
      <c r="C275" s="84"/>
      <c r="D275" s="84"/>
      <c r="E275" s="84"/>
      <c r="F275" s="84"/>
      <c r="G275" s="84"/>
    </row>
    <row r="276" spans="1:7" ht="12.75" customHeight="1">
      <c r="A276" s="185" t="s">
        <v>78</v>
      </c>
      <c r="B276" s="186"/>
      <c r="C276" s="111" t="s">
        <v>14</v>
      </c>
      <c r="D276" s="84" t="str">
        <f>TEXT(D201,"$#,##0.00")&amp;" x "&amp;TEXT(G97,"#,###")&amp;"/1000"</f>
        <v>$0.72 x Gallons/year/1000</v>
      </c>
      <c r="E276" s="84"/>
      <c r="F276" s="84"/>
      <c r="G276" s="84"/>
    </row>
    <row r="277" spans="1:7" ht="12.75">
      <c r="A277" s="84"/>
      <c r="B277" s="139"/>
      <c r="C277" s="111"/>
      <c r="D277" s="84"/>
      <c r="E277" s="84"/>
      <c r="F277" s="84"/>
      <c r="G277" s="84"/>
    </row>
    <row r="278" spans="1:7" ht="12.75">
      <c r="A278" s="185" t="s">
        <v>78</v>
      </c>
      <c r="B278" s="186"/>
      <c r="C278" s="111" t="s">
        <v>14</v>
      </c>
      <c r="D278" s="140">
        <f>D201*F97/1000</f>
        <v>17064</v>
      </c>
      <c r="E278" s="84"/>
      <c r="F278" s="84"/>
      <c r="G278" s="84"/>
    </row>
    <row r="279" spans="1:7" ht="12.75">
      <c r="A279" s="84"/>
      <c r="B279" s="84"/>
      <c r="C279" s="84"/>
      <c r="D279" s="84"/>
      <c r="E279" s="84"/>
      <c r="F279" s="84"/>
      <c r="G279" s="84"/>
    </row>
    <row r="280" spans="1:8" ht="12.75">
      <c r="A280" s="84"/>
      <c r="B280" s="135" t="s">
        <v>80</v>
      </c>
      <c r="C280" s="111" t="s">
        <v>14</v>
      </c>
      <c r="D280" s="178" t="s">
        <v>81</v>
      </c>
      <c r="E280" s="174"/>
      <c r="F280" s="174"/>
      <c r="G280" s="174"/>
      <c r="H280" s="148"/>
    </row>
    <row r="281" spans="1:8" ht="12.75">
      <c r="A281" s="84"/>
      <c r="B281" s="84"/>
      <c r="C281" s="84"/>
      <c r="D281" s="174"/>
      <c r="E281" s="174"/>
      <c r="F281" s="174"/>
      <c r="G281" s="174"/>
      <c r="H281" s="148"/>
    </row>
    <row r="282" spans="1:8" ht="12.75">
      <c r="A282" s="84"/>
      <c r="B282" s="84"/>
      <c r="C282" s="84"/>
      <c r="D282" s="77"/>
      <c r="E282" s="77"/>
      <c r="F282" s="77"/>
      <c r="G282" s="77"/>
      <c r="H282" s="149"/>
    </row>
    <row r="283" spans="1:7" ht="12.75">
      <c r="A283" s="84"/>
      <c r="B283" s="135" t="s">
        <v>80</v>
      </c>
      <c r="C283" s="111" t="s">
        <v>14</v>
      </c>
      <c r="D283" s="84" t="str">
        <f>TEXT(D272,"$#,##0.00")&amp;" + "&amp;TEXT(D278,"$#,##0.00")</f>
        <v>$19,820.16 + $17,064.00</v>
      </c>
      <c r="E283" s="84"/>
      <c r="F283" s="84"/>
      <c r="G283" s="84"/>
    </row>
    <row r="284" spans="1:7" ht="12.75">
      <c r="A284" s="84"/>
      <c r="B284" s="84"/>
      <c r="C284" s="84"/>
      <c r="D284" s="84"/>
      <c r="E284" s="84"/>
      <c r="F284" s="84"/>
      <c r="G284" s="84"/>
    </row>
    <row r="285" spans="1:7" ht="12.75">
      <c r="A285" s="84"/>
      <c r="B285" s="135" t="s">
        <v>80</v>
      </c>
      <c r="C285" s="111" t="s">
        <v>14</v>
      </c>
      <c r="D285" s="101">
        <f>D272+D278</f>
        <v>36884.16</v>
      </c>
      <c r="E285" s="84"/>
      <c r="F285" s="84"/>
      <c r="G285" s="84"/>
    </row>
    <row r="286" spans="1:7" ht="12.75">
      <c r="A286" s="84"/>
      <c r="B286" s="84"/>
      <c r="C286" s="84"/>
      <c r="D286" s="84"/>
      <c r="E286" s="84"/>
      <c r="F286" s="84"/>
      <c r="G286" s="84"/>
    </row>
    <row r="287" spans="1:10" ht="12.75">
      <c r="A287" s="84"/>
      <c r="B287" s="135" t="s">
        <v>82</v>
      </c>
      <c r="C287" s="111" t="s">
        <v>14</v>
      </c>
      <c r="D287" s="176" t="s">
        <v>89</v>
      </c>
      <c r="E287" s="174"/>
      <c r="F287" s="174"/>
      <c r="G287" s="174"/>
      <c r="H287" s="148"/>
      <c r="I287" s="81"/>
      <c r="J287" s="81"/>
    </row>
    <row r="288" spans="1:10" ht="12.75">
      <c r="A288" s="84"/>
      <c r="B288" s="135"/>
      <c r="C288" s="111"/>
      <c r="D288" s="174"/>
      <c r="E288" s="174"/>
      <c r="F288" s="174"/>
      <c r="G288" s="174"/>
      <c r="H288" s="148"/>
      <c r="I288" s="81"/>
      <c r="J288" s="81"/>
    </row>
    <row r="289" spans="1:7" ht="12.75">
      <c r="A289" s="84"/>
      <c r="B289" s="84"/>
      <c r="C289" s="84"/>
      <c r="D289" s="84"/>
      <c r="E289" s="84"/>
      <c r="F289" s="84"/>
      <c r="G289" s="84"/>
    </row>
    <row r="290" spans="1:7" ht="12.75">
      <c r="A290" s="84"/>
      <c r="B290" s="135" t="s">
        <v>82</v>
      </c>
      <c r="C290" s="111" t="s">
        <v>14</v>
      </c>
      <c r="D290" s="84" t="str">
        <f>TEXT(D285,"$#,##0.00")&amp;" - "&amp;TEXT(D45,"$#,##0.00")</f>
        <v>$36,884.16 - $36,606.40</v>
      </c>
      <c r="E290" s="84"/>
      <c r="F290" s="84"/>
      <c r="G290" s="84"/>
    </row>
    <row r="291" spans="1:7" ht="12.75">
      <c r="A291" s="84"/>
      <c r="B291" s="84"/>
      <c r="C291" s="84"/>
      <c r="D291" s="84"/>
      <c r="E291" s="84"/>
      <c r="F291" s="84"/>
      <c r="G291" s="84"/>
    </row>
    <row r="292" spans="1:7" ht="12.75">
      <c r="A292" s="84"/>
      <c r="B292" s="135" t="s">
        <v>82</v>
      </c>
      <c r="C292" s="111" t="s">
        <v>14</v>
      </c>
      <c r="D292" s="141">
        <f>D285-D45</f>
        <v>277.76000000000204</v>
      </c>
      <c r="E292" s="84"/>
      <c r="F292" s="84"/>
      <c r="G292" s="84"/>
    </row>
    <row r="293" spans="1:7" ht="12.75">
      <c r="A293" s="84"/>
      <c r="B293" s="84"/>
      <c r="C293" s="84"/>
      <c r="D293" s="84"/>
      <c r="E293" s="84"/>
      <c r="F293" s="84"/>
      <c r="G293" s="84"/>
    </row>
    <row r="294" spans="1:7" ht="12.75">
      <c r="A294" s="84"/>
      <c r="B294" s="84"/>
      <c r="C294" s="84"/>
      <c r="D294" s="135"/>
      <c r="E294" s="84"/>
      <c r="F294" s="84"/>
      <c r="G294" s="84"/>
    </row>
    <row r="295" spans="1:7" ht="12.75">
      <c r="A295" s="84"/>
      <c r="B295" s="84"/>
      <c r="C295" s="84"/>
      <c r="D295" s="84"/>
      <c r="E295" s="84"/>
      <c r="F295" s="84"/>
      <c r="G295" s="84"/>
    </row>
    <row r="296" spans="1:7" ht="12.75">
      <c r="A296" s="84"/>
      <c r="B296" s="84"/>
      <c r="C296" s="84"/>
      <c r="D296" s="84"/>
      <c r="E296" s="84"/>
      <c r="F296" s="84"/>
      <c r="G296" s="84"/>
    </row>
    <row r="297" spans="1:7" ht="12.75">
      <c r="A297" s="84"/>
      <c r="B297" s="84"/>
      <c r="C297" s="84"/>
      <c r="D297" s="84"/>
      <c r="E297" s="84"/>
      <c r="F297" s="84"/>
      <c r="G297" s="84"/>
    </row>
    <row r="298" spans="1:7" ht="12.75">
      <c r="A298" s="84"/>
      <c r="B298" s="84"/>
      <c r="C298" s="84"/>
      <c r="D298" s="84"/>
      <c r="E298" s="84"/>
      <c r="F298" s="84"/>
      <c r="G298" s="84"/>
    </row>
    <row r="299" spans="1:7" ht="12.75">
      <c r="A299" s="84"/>
      <c r="B299" s="84"/>
      <c r="C299" s="84"/>
      <c r="D299" s="84"/>
      <c r="E299" s="84"/>
      <c r="F299" s="84"/>
      <c r="G299" s="84"/>
    </row>
    <row r="300" spans="1:7" ht="12.75">
      <c r="A300" s="84"/>
      <c r="B300" s="84"/>
      <c r="C300" s="84"/>
      <c r="D300" s="84"/>
      <c r="E300" s="84"/>
      <c r="F300" s="84"/>
      <c r="G300" s="84"/>
    </row>
    <row r="301" spans="1:7" ht="12.75">
      <c r="A301" s="84"/>
      <c r="B301" s="84"/>
      <c r="C301" s="84"/>
      <c r="D301" s="84"/>
      <c r="E301" s="84"/>
      <c r="F301" s="84"/>
      <c r="G301" s="84"/>
    </row>
    <row r="302" spans="1:7" ht="12.75">
      <c r="A302" s="84"/>
      <c r="B302" s="84"/>
      <c r="C302" s="84"/>
      <c r="D302" s="84"/>
      <c r="E302" s="84"/>
      <c r="F302" s="84"/>
      <c r="G302" s="84"/>
    </row>
    <row r="303" spans="1:7" ht="12.75">
      <c r="A303" s="84"/>
      <c r="B303" s="84"/>
      <c r="C303" s="84"/>
      <c r="D303" s="84"/>
      <c r="E303" s="84"/>
      <c r="F303" s="84"/>
      <c r="G303" s="84"/>
    </row>
    <row r="304" spans="1:7" ht="12.75">
      <c r="A304" s="84"/>
      <c r="B304" s="84"/>
      <c r="C304" s="84"/>
      <c r="D304" s="84"/>
      <c r="E304" s="84"/>
      <c r="F304" s="84"/>
      <c r="G304" s="84"/>
    </row>
    <row r="305" spans="1:7" ht="12.75">
      <c r="A305" s="84"/>
      <c r="B305" s="84"/>
      <c r="C305" s="84"/>
      <c r="D305" s="84"/>
      <c r="E305" s="84"/>
      <c r="F305" s="84"/>
      <c r="G305" s="84"/>
    </row>
    <row r="306" spans="1:7" ht="12.75">
      <c r="A306" s="84"/>
      <c r="B306" s="84"/>
      <c r="C306" s="84"/>
      <c r="D306" s="84"/>
      <c r="E306" s="84"/>
      <c r="F306" s="84"/>
      <c r="G306" s="84"/>
    </row>
    <row r="307" spans="1:7" ht="12.75">
      <c r="A307" s="84"/>
      <c r="B307" s="84"/>
      <c r="C307" s="84"/>
      <c r="D307" s="84"/>
      <c r="E307" s="84"/>
      <c r="F307" s="84"/>
      <c r="G307" s="84"/>
    </row>
    <row r="308" spans="1:7" ht="12.75">
      <c r="A308" s="84"/>
      <c r="B308" s="84"/>
      <c r="C308" s="84"/>
      <c r="D308" s="84"/>
      <c r="E308" s="84"/>
      <c r="F308" s="84"/>
      <c r="G308" s="84"/>
    </row>
    <row r="309" spans="1:7" ht="12.75">
      <c r="A309" s="84"/>
      <c r="B309" s="84"/>
      <c r="C309" s="84"/>
      <c r="D309" s="84"/>
      <c r="E309" s="84"/>
      <c r="F309" s="84"/>
      <c r="G309" s="84"/>
    </row>
    <row r="310" spans="1:7" ht="12.75">
      <c r="A310" s="84"/>
      <c r="B310" s="84"/>
      <c r="C310" s="84"/>
      <c r="D310" s="84"/>
      <c r="E310" s="84"/>
      <c r="F310" s="84"/>
      <c r="G310" s="84"/>
    </row>
    <row r="311" spans="1:7" ht="12.75">
      <c r="A311" s="84"/>
      <c r="B311" s="84"/>
      <c r="C311" s="84"/>
      <c r="D311" s="84"/>
      <c r="E311" s="84"/>
      <c r="F311" s="84"/>
      <c r="G311" s="84"/>
    </row>
    <row r="312" spans="1:7" ht="12.75">
      <c r="A312" s="84"/>
      <c r="B312" s="84"/>
      <c r="C312" s="84"/>
      <c r="D312" s="84"/>
      <c r="E312" s="84"/>
      <c r="F312" s="84"/>
      <c r="G312" s="84"/>
    </row>
    <row r="313" spans="1:7" ht="12.75">
      <c r="A313" s="84"/>
      <c r="B313" s="84"/>
      <c r="C313" s="84"/>
      <c r="D313" s="84"/>
      <c r="E313" s="84"/>
      <c r="F313" s="84"/>
      <c r="G313" s="84"/>
    </row>
    <row r="314" spans="1:7" ht="12.75">
      <c r="A314" s="84"/>
      <c r="B314" s="84"/>
      <c r="C314" s="84"/>
      <c r="D314" s="84"/>
      <c r="E314" s="84"/>
      <c r="F314" s="84"/>
      <c r="G314" s="84"/>
    </row>
    <row r="315" spans="1:7" ht="12.75">
      <c r="A315" s="84"/>
      <c r="B315" s="84"/>
      <c r="C315" s="84"/>
      <c r="D315" s="84"/>
      <c r="E315" s="84"/>
      <c r="F315" s="84"/>
      <c r="G315" s="84"/>
    </row>
    <row r="316" spans="1:7" ht="12.75">
      <c r="A316" s="84"/>
      <c r="B316" s="84"/>
      <c r="C316" s="84"/>
      <c r="D316" s="84"/>
      <c r="E316" s="84"/>
      <c r="F316" s="84"/>
      <c r="G316" s="84"/>
    </row>
    <row r="317" spans="1:7" ht="12.75">
      <c r="A317" s="84"/>
      <c r="B317" s="84"/>
      <c r="C317" s="84"/>
      <c r="D317" s="84"/>
      <c r="E317" s="84"/>
      <c r="F317" s="84"/>
      <c r="G317" s="84"/>
    </row>
    <row r="318" spans="1:7" ht="12.75">
      <c r="A318" s="84"/>
      <c r="B318" s="84"/>
      <c r="C318" s="84"/>
      <c r="D318" s="84"/>
      <c r="E318" s="84"/>
      <c r="F318" s="84"/>
      <c r="G318" s="84"/>
    </row>
    <row r="319" spans="1:7" ht="12.75">
      <c r="A319" s="84"/>
      <c r="B319" s="84"/>
      <c r="C319" s="84"/>
      <c r="D319" s="84"/>
      <c r="E319" s="84"/>
      <c r="F319" s="84"/>
      <c r="G319" s="84"/>
    </row>
    <row r="320" spans="1:7" ht="12.75">
      <c r="A320" s="84"/>
      <c r="B320" s="84"/>
      <c r="C320" s="84"/>
      <c r="D320" s="84"/>
      <c r="E320" s="84"/>
      <c r="F320" s="84"/>
      <c r="G320" s="84"/>
    </row>
    <row r="321" spans="1:7" ht="12.75">
      <c r="A321" s="84"/>
      <c r="B321" s="84"/>
      <c r="C321" s="84"/>
      <c r="D321" s="84"/>
      <c r="E321" s="84"/>
      <c r="F321" s="84"/>
      <c r="G321" s="84"/>
    </row>
    <row r="322" spans="1:7" ht="12.75">
      <c r="A322" s="84"/>
      <c r="B322" s="84"/>
      <c r="C322" s="84"/>
      <c r="D322" s="84"/>
      <c r="E322" s="84"/>
      <c r="F322" s="84"/>
      <c r="G322" s="84"/>
    </row>
    <row r="323" spans="1:7" ht="12.75">
      <c r="A323" s="84"/>
      <c r="B323" s="84"/>
      <c r="C323" s="84"/>
      <c r="D323" s="84"/>
      <c r="E323" s="84"/>
      <c r="F323" s="84"/>
      <c r="G323" s="84"/>
    </row>
    <row r="324" spans="1:7" ht="12.75">
      <c r="A324" s="84"/>
      <c r="B324" s="84"/>
      <c r="C324" s="84"/>
      <c r="D324" s="84"/>
      <c r="E324" s="84"/>
      <c r="F324" s="84"/>
      <c r="G324" s="84"/>
    </row>
    <row r="325" spans="1:7" ht="12.75">
      <c r="A325" s="84"/>
      <c r="B325" s="84"/>
      <c r="C325" s="84"/>
      <c r="D325" s="84"/>
      <c r="E325" s="84"/>
      <c r="F325" s="84"/>
      <c r="G325" s="84"/>
    </row>
    <row r="326" spans="1:7" ht="12.75">
      <c r="A326" s="84"/>
      <c r="B326" s="84"/>
      <c r="C326" s="84"/>
      <c r="D326" s="84"/>
      <c r="E326" s="84"/>
      <c r="F326" s="84"/>
      <c r="G326" s="84"/>
    </row>
    <row r="327" spans="1:7" ht="12.75">
      <c r="A327" s="84"/>
      <c r="B327" s="84"/>
      <c r="C327" s="84"/>
      <c r="D327" s="84"/>
      <c r="E327" s="84"/>
      <c r="F327" s="84"/>
      <c r="G327" s="84"/>
    </row>
    <row r="328" spans="1:7" ht="12.75">
      <c r="A328" s="84"/>
      <c r="B328" s="84"/>
      <c r="C328" s="84"/>
      <c r="D328" s="84"/>
      <c r="E328" s="84"/>
      <c r="F328" s="84"/>
      <c r="G328" s="84"/>
    </row>
    <row r="329" spans="1:7" ht="12.75">
      <c r="A329" s="84"/>
      <c r="B329" s="84"/>
      <c r="C329" s="84"/>
      <c r="D329" s="84"/>
      <c r="E329" s="84"/>
      <c r="F329" s="84"/>
      <c r="G329" s="84"/>
    </row>
    <row r="330" spans="1:7" ht="12.75">
      <c r="A330" s="84"/>
      <c r="B330" s="84"/>
      <c r="C330" s="84"/>
      <c r="D330" s="84"/>
      <c r="E330" s="84"/>
      <c r="F330" s="84"/>
      <c r="G330" s="84"/>
    </row>
    <row r="331" spans="1:7" ht="12.75">
      <c r="A331" s="84"/>
      <c r="B331" s="84"/>
      <c r="C331" s="84"/>
      <c r="D331" s="84"/>
      <c r="E331" s="84"/>
      <c r="F331" s="84"/>
      <c r="G331" s="84"/>
    </row>
    <row r="332" spans="1:7" ht="12.75">
      <c r="A332" s="84"/>
      <c r="B332" s="84"/>
      <c r="C332" s="84"/>
      <c r="D332" s="84"/>
      <c r="E332" s="84"/>
      <c r="F332" s="84"/>
      <c r="G332" s="84"/>
    </row>
    <row r="333" spans="1:7" ht="12.75">
      <c r="A333" s="84"/>
      <c r="B333" s="84"/>
      <c r="C333" s="84"/>
      <c r="D333" s="84"/>
      <c r="E333" s="84"/>
      <c r="F333" s="84"/>
      <c r="G333" s="84"/>
    </row>
    <row r="334" spans="1:7" ht="12.75">
      <c r="A334" s="84"/>
      <c r="B334" s="84"/>
      <c r="C334" s="84"/>
      <c r="D334" s="84"/>
      <c r="E334" s="84"/>
      <c r="F334" s="84"/>
      <c r="G334" s="84"/>
    </row>
    <row r="335" spans="1:7" ht="12.75">
      <c r="A335" s="84"/>
      <c r="B335" s="84"/>
      <c r="C335" s="84"/>
      <c r="D335" s="84"/>
      <c r="E335" s="84"/>
      <c r="F335" s="84"/>
      <c r="G335" s="84"/>
    </row>
    <row r="336" spans="1:7" ht="12.75">
      <c r="A336" s="84"/>
      <c r="B336" s="84"/>
      <c r="C336" s="84"/>
      <c r="D336" s="84"/>
      <c r="E336" s="84"/>
      <c r="F336" s="84"/>
      <c r="G336" s="84"/>
    </row>
    <row r="337" spans="1:7" ht="12.75">
      <c r="A337" s="84"/>
      <c r="B337" s="84"/>
      <c r="C337" s="84"/>
      <c r="D337" s="84"/>
      <c r="E337" s="84"/>
      <c r="F337" s="84"/>
      <c r="G337" s="84"/>
    </row>
    <row r="338" spans="1:7" ht="12.75">
      <c r="A338" s="84"/>
      <c r="B338" s="84"/>
      <c r="C338" s="84"/>
      <c r="D338" s="84"/>
      <c r="E338" s="84"/>
      <c r="F338" s="84"/>
      <c r="G338" s="84"/>
    </row>
    <row r="339" spans="1:7" ht="12.75">
      <c r="A339" s="84"/>
      <c r="B339" s="84"/>
      <c r="C339" s="84"/>
      <c r="D339" s="84"/>
      <c r="E339" s="84"/>
      <c r="F339" s="84"/>
      <c r="G339" s="84"/>
    </row>
    <row r="340" spans="1:7" ht="12.75">
      <c r="A340" s="84"/>
      <c r="B340" s="84"/>
      <c r="C340" s="84"/>
      <c r="D340" s="84"/>
      <c r="E340" s="84"/>
      <c r="F340" s="84"/>
      <c r="G340" s="84"/>
    </row>
    <row r="341" spans="1:7" ht="12.75">
      <c r="A341" s="84"/>
      <c r="B341" s="84"/>
      <c r="C341" s="84"/>
      <c r="D341" s="84"/>
      <c r="E341" s="84"/>
      <c r="F341" s="84"/>
      <c r="G341" s="84"/>
    </row>
    <row r="342" spans="1:7" ht="12.75">
      <c r="A342" s="84"/>
      <c r="B342" s="84"/>
      <c r="C342" s="84"/>
      <c r="D342" s="84"/>
      <c r="E342" s="84"/>
      <c r="F342" s="84"/>
      <c r="G342" s="84"/>
    </row>
    <row r="343" spans="1:7" ht="12.75">
      <c r="A343" s="84"/>
      <c r="B343" s="84"/>
      <c r="C343" s="84"/>
      <c r="D343" s="84"/>
      <c r="E343" s="84"/>
      <c r="F343" s="84"/>
      <c r="G343" s="84"/>
    </row>
    <row r="344" spans="1:7" ht="12.75">
      <c r="A344" s="84"/>
      <c r="B344" s="84"/>
      <c r="C344" s="84"/>
      <c r="D344" s="84"/>
      <c r="E344" s="84"/>
      <c r="F344" s="84"/>
      <c r="G344" s="84"/>
    </row>
    <row r="345" spans="1:7" ht="12.75">
      <c r="A345" s="84"/>
      <c r="B345" s="84"/>
      <c r="C345" s="84"/>
      <c r="D345" s="84"/>
      <c r="E345" s="84"/>
      <c r="F345" s="84"/>
      <c r="G345" s="84"/>
    </row>
    <row r="346" spans="1:7" ht="12.75">
      <c r="A346" s="84"/>
      <c r="B346" s="84"/>
      <c r="C346" s="84"/>
      <c r="D346" s="84"/>
      <c r="E346" s="84"/>
      <c r="F346" s="84"/>
      <c r="G346" s="84"/>
    </row>
    <row r="347" spans="1:7" ht="12.75">
      <c r="A347" s="84"/>
      <c r="B347" s="84"/>
      <c r="C347" s="84"/>
      <c r="D347" s="84"/>
      <c r="E347" s="84"/>
      <c r="F347" s="84"/>
      <c r="G347" s="84"/>
    </row>
    <row r="348" spans="1:7" ht="12.75">
      <c r="A348" s="84"/>
      <c r="B348" s="84"/>
      <c r="C348" s="84"/>
      <c r="D348" s="84"/>
      <c r="E348" s="84"/>
      <c r="F348" s="84"/>
      <c r="G348" s="84"/>
    </row>
    <row r="349" spans="1:7" ht="12.75">
      <c r="A349" s="84"/>
      <c r="B349" s="84"/>
      <c r="C349" s="84"/>
      <c r="D349" s="84"/>
      <c r="E349" s="84"/>
      <c r="F349" s="84"/>
      <c r="G349" s="84"/>
    </row>
    <row r="350" spans="1:7" ht="12.75">
      <c r="A350" s="84"/>
      <c r="B350" s="84"/>
      <c r="C350" s="84"/>
      <c r="D350" s="84"/>
      <c r="E350" s="84"/>
      <c r="F350" s="84"/>
      <c r="G350" s="84"/>
    </row>
    <row r="351" spans="1:7" ht="12.75">
      <c r="A351" s="84"/>
      <c r="B351" s="84"/>
      <c r="C351" s="84"/>
      <c r="D351" s="84"/>
      <c r="E351" s="84"/>
      <c r="F351" s="84"/>
      <c r="G351" s="84"/>
    </row>
    <row r="352" spans="1:7" ht="12.75">
      <c r="A352" s="84"/>
      <c r="B352" s="84"/>
      <c r="C352" s="84"/>
      <c r="D352" s="84"/>
      <c r="E352" s="84"/>
      <c r="F352" s="84"/>
      <c r="G352" s="84"/>
    </row>
    <row r="353" spans="1:7" ht="12.75">
      <c r="A353" s="84"/>
      <c r="B353" s="84"/>
      <c r="C353" s="84"/>
      <c r="D353" s="84"/>
      <c r="E353" s="84"/>
      <c r="F353" s="84"/>
      <c r="G353" s="84"/>
    </row>
    <row r="354" spans="1:7" ht="12.75">
      <c r="A354" s="84"/>
      <c r="B354" s="84"/>
      <c r="C354" s="84"/>
      <c r="D354" s="84"/>
      <c r="E354" s="84"/>
      <c r="F354" s="84"/>
      <c r="G354" s="84"/>
    </row>
    <row r="355" spans="1:7" ht="12.75">
      <c r="A355" s="84"/>
      <c r="B355" s="84"/>
      <c r="C355" s="84"/>
      <c r="D355" s="84"/>
      <c r="E355" s="84"/>
      <c r="F355" s="84"/>
      <c r="G355" s="84"/>
    </row>
    <row r="356" spans="1:7" ht="12.75">
      <c r="A356" s="84"/>
      <c r="B356" s="84"/>
      <c r="C356" s="84"/>
      <c r="D356" s="84"/>
      <c r="E356" s="84"/>
      <c r="F356" s="84"/>
      <c r="G356" s="84"/>
    </row>
  </sheetData>
  <sheetProtection/>
  <mergeCells count="41">
    <mergeCell ref="A278:B278"/>
    <mergeCell ref="A1:G1"/>
    <mergeCell ref="B265:E265"/>
    <mergeCell ref="A93:B93"/>
    <mergeCell ref="A149:G150"/>
    <mergeCell ref="B59:G60"/>
    <mergeCell ref="B66:G67"/>
    <mergeCell ref="B73:G74"/>
    <mergeCell ref="A82:G91"/>
    <mergeCell ref="K198:O199"/>
    <mergeCell ref="D190:G192"/>
    <mergeCell ref="D193:G195"/>
    <mergeCell ref="D198:G199"/>
    <mergeCell ref="A2:G9"/>
    <mergeCell ref="A12:G13"/>
    <mergeCell ref="A49:G50"/>
    <mergeCell ref="B52:G53"/>
    <mergeCell ref="A35:A36"/>
    <mergeCell ref="D287:G288"/>
    <mergeCell ref="A262:B262"/>
    <mergeCell ref="A223:A224"/>
    <mergeCell ref="D259:G259"/>
    <mergeCell ref="D243:G244"/>
    <mergeCell ref="D245:G246"/>
    <mergeCell ref="D237:G239"/>
    <mergeCell ref="D240:G242"/>
    <mergeCell ref="A274:B274"/>
    <mergeCell ref="A276:B276"/>
    <mergeCell ref="D223:G227"/>
    <mergeCell ref="D231:G232"/>
    <mergeCell ref="D233:G234"/>
    <mergeCell ref="D267:G268"/>
    <mergeCell ref="D255:G257"/>
    <mergeCell ref="D280:G281"/>
    <mergeCell ref="A105:G107"/>
    <mergeCell ref="A169:G170"/>
    <mergeCell ref="A177:G180"/>
    <mergeCell ref="D218:G220"/>
    <mergeCell ref="A215:G216"/>
    <mergeCell ref="D184:G185"/>
    <mergeCell ref="A218:A219"/>
  </mergeCells>
  <printOptions/>
  <pageMargins left="0.75" right="0.75" top="1" bottom="1" header="0.5" footer="0.5"/>
  <pageSetup horizontalDpi="600" verticalDpi="600" orientation="portrait" scale="78" r:id="rId1"/>
  <headerFooter alignWithMargins="0">
    <oddHeader>&amp;CModel Wastewater User Charge Methodology</oddHeader>
    <oddFooter>&amp;CA-&amp;P</oddFooter>
  </headerFooter>
  <rowBreaks count="4" manualBreakCount="4">
    <brk id="47" max="255" man="1"/>
    <brk id="111" max="6" man="1"/>
    <brk id="174" max="8" man="1"/>
    <brk id="239" max="6" man="1"/>
  </rowBreaks>
</worksheet>
</file>

<file path=xl/worksheets/sheet3.xml><?xml version="1.0" encoding="utf-8"?>
<worksheet xmlns="http://schemas.openxmlformats.org/spreadsheetml/2006/main" xmlns:r="http://schemas.openxmlformats.org/officeDocument/2006/relationships">
  <dimension ref="B1:E56"/>
  <sheetViews>
    <sheetView zoomScalePageLayoutView="0" workbookViewId="0" topLeftCell="A1">
      <selection activeCell="B1" sqref="B1:E1"/>
    </sheetView>
  </sheetViews>
  <sheetFormatPr defaultColWidth="9.140625" defaultRowHeight="12.75"/>
  <cols>
    <col min="1" max="1" width="9.140625" style="15" customWidth="1"/>
    <col min="2" max="2" width="15.421875" style="18" customWidth="1"/>
    <col min="3" max="3" width="69.28125" style="15" customWidth="1"/>
    <col min="4" max="4" width="13.421875" style="17" bestFit="1" customWidth="1"/>
    <col min="5" max="5" width="13.421875" style="15" bestFit="1" customWidth="1"/>
    <col min="6" max="16384" width="9.140625" style="15" customWidth="1"/>
  </cols>
  <sheetData>
    <row r="1" spans="2:5" ht="13.5">
      <c r="B1" s="208" t="s">
        <v>158</v>
      </c>
      <c r="C1" s="209"/>
      <c r="D1" s="209"/>
      <c r="E1" s="209"/>
    </row>
    <row r="2" spans="2:5" ht="15.75">
      <c r="B2" s="34"/>
      <c r="C2" s="35"/>
      <c r="D2" s="19"/>
      <c r="E2" s="20"/>
    </row>
    <row r="3" spans="2:5" ht="15.75">
      <c r="B3" s="195" t="s">
        <v>159</v>
      </c>
      <c r="C3" s="210"/>
      <c r="D3" s="210"/>
      <c r="E3" s="210"/>
    </row>
    <row r="4" spans="2:5" ht="15.75">
      <c r="B4" s="34"/>
      <c r="C4" s="35"/>
      <c r="D4" s="19"/>
      <c r="E4" s="20"/>
    </row>
    <row r="5" spans="2:5" ht="13.5" customHeight="1">
      <c r="B5" s="215" t="s">
        <v>119</v>
      </c>
      <c r="C5" s="216"/>
      <c r="D5" s="216"/>
      <c r="E5" s="216"/>
    </row>
    <row r="6" spans="2:5" ht="13.5" customHeight="1">
      <c r="B6" s="216"/>
      <c r="C6" s="216"/>
      <c r="D6" s="216"/>
      <c r="E6" s="216"/>
    </row>
    <row r="7" spans="2:5" ht="13.5" customHeight="1">
      <c r="B7" s="216"/>
      <c r="C7" s="216"/>
      <c r="D7" s="216"/>
      <c r="E7" s="216"/>
    </row>
    <row r="8" spans="2:5" ht="12.75">
      <c r="B8" s="216"/>
      <c r="C8" s="216"/>
      <c r="D8" s="216"/>
      <c r="E8" s="216"/>
    </row>
    <row r="9" spans="2:5" ht="13.5" customHeight="1">
      <c r="B9" s="216"/>
      <c r="C9" s="216"/>
      <c r="D9" s="216"/>
      <c r="E9" s="216"/>
    </row>
    <row r="10" spans="2:5" ht="13.5" customHeight="1">
      <c r="B10" s="216"/>
      <c r="C10" s="216"/>
      <c r="D10" s="216"/>
      <c r="E10" s="216"/>
    </row>
    <row r="11" spans="2:5" ht="13.5" customHeight="1">
      <c r="B11" s="216"/>
      <c r="C11" s="216"/>
      <c r="D11" s="216"/>
      <c r="E11" s="216"/>
    </row>
    <row r="12" spans="2:5" ht="13.5" customHeight="1">
      <c r="B12" s="180"/>
      <c r="C12" s="180"/>
      <c r="D12" s="180"/>
      <c r="E12" s="180"/>
    </row>
    <row r="13" spans="2:5" ht="13.5" customHeight="1">
      <c r="B13" s="180"/>
      <c r="C13" s="180"/>
      <c r="D13" s="180"/>
      <c r="E13" s="180"/>
    </row>
    <row r="14" spans="2:5" ht="15.75">
      <c r="B14" s="34"/>
      <c r="C14" s="36"/>
      <c r="D14" s="19"/>
      <c r="E14" s="20"/>
    </row>
    <row r="15" spans="2:5" ht="63">
      <c r="B15" s="29" t="s">
        <v>115</v>
      </c>
      <c r="C15" s="30" t="s">
        <v>116</v>
      </c>
      <c r="D15" s="31" t="s">
        <v>117</v>
      </c>
      <c r="E15" s="30" t="s">
        <v>118</v>
      </c>
    </row>
    <row r="16" spans="2:5" ht="15">
      <c r="B16" s="21">
        <v>1</v>
      </c>
      <c r="C16" s="22" t="s">
        <v>138</v>
      </c>
      <c r="D16" s="37">
        <v>150</v>
      </c>
      <c r="E16" s="38">
        <v>150</v>
      </c>
    </row>
    <row r="17" spans="2:5" ht="15">
      <c r="B17" s="21">
        <v>2</v>
      </c>
      <c r="C17" s="22" t="s">
        <v>141</v>
      </c>
      <c r="D17" s="37">
        <v>150</v>
      </c>
      <c r="E17" s="38">
        <v>150</v>
      </c>
    </row>
    <row r="18" spans="2:5" ht="15">
      <c r="B18" s="211">
        <v>3</v>
      </c>
      <c r="C18" s="32" t="s">
        <v>139</v>
      </c>
      <c r="D18" s="39">
        <v>250</v>
      </c>
      <c r="E18" s="40"/>
    </row>
    <row r="19" spans="2:5" ht="15">
      <c r="B19" s="212"/>
      <c r="C19" s="32" t="s">
        <v>140</v>
      </c>
      <c r="D19" s="39">
        <v>100</v>
      </c>
      <c r="E19" s="41"/>
    </row>
    <row r="20" spans="2:5" ht="15">
      <c r="B20" s="213"/>
      <c r="C20" s="22" t="s">
        <v>141</v>
      </c>
      <c r="D20" s="39">
        <v>150</v>
      </c>
      <c r="E20" s="42">
        <f>SUM(D18:D20)</f>
        <v>500</v>
      </c>
    </row>
    <row r="21" spans="2:5" ht="15">
      <c r="B21" s="74">
        <v>4</v>
      </c>
      <c r="C21" s="22" t="s">
        <v>141</v>
      </c>
      <c r="D21" s="37">
        <v>150</v>
      </c>
      <c r="E21" s="38">
        <v>150</v>
      </c>
    </row>
    <row r="22" spans="2:5" ht="15">
      <c r="B22" s="214">
        <v>5</v>
      </c>
      <c r="C22" s="32" t="s">
        <v>142</v>
      </c>
      <c r="D22" s="39">
        <v>200</v>
      </c>
      <c r="E22" s="40"/>
    </row>
    <row r="23" spans="2:5" ht="15">
      <c r="B23" s="207"/>
      <c r="C23" s="32" t="s">
        <v>143</v>
      </c>
      <c r="D23" s="39">
        <v>650</v>
      </c>
      <c r="E23" s="41"/>
    </row>
    <row r="24" spans="2:5" ht="15">
      <c r="B24" s="207"/>
      <c r="C24" s="32" t="s">
        <v>144</v>
      </c>
      <c r="D24" s="39">
        <v>900</v>
      </c>
      <c r="E24" s="41"/>
    </row>
    <row r="25" spans="2:5" ht="15">
      <c r="B25" s="206"/>
      <c r="C25" s="22" t="s">
        <v>141</v>
      </c>
      <c r="D25" s="39">
        <v>150</v>
      </c>
      <c r="E25" s="42">
        <f>SUM(D22:D25)</f>
        <v>1900</v>
      </c>
    </row>
    <row r="26" spans="2:5" ht="15">
      <c r="B26" s="74">
        <v>6</v>
      </c>
      <c r="C26" s="22" t="s">
        <v>145</v>
      </c>
      <c r="D26" s="37">
        <v>500</v>
      </c>
      <c r="E26" s="38">
        <v>500</v>
      </c>
    </row>
    <row r="27" spans="2:5" ht="15">
      <c r="B27" s="74">
        <v>7</v>
      </c>
      <c r="C27" s="22" t="s">
        <v>141</v>
      </c>
      <c r="D27" s="37">
        <v>150</v>
      </c>
      <c r="E27" s="38">
        <v>150</v>
      </c>
    </row>
    <row r="28" spans="2:5" ht="15">
      <c r="B28" s="205">
        <v>8</v>
      </c>
      <c r="C28" s="32" t="s">
        <v>146</v>
      </c>
      <c r="D28" s="39">
        <v>1350</v>
      </c>
      <c r="E28" s="40"/>
    </row>
    <row r="29" spans="2:5" ht="15">
      <c r="B29" s="206"/>
      <c r="C29" s="22" t="s">
        <v>141</v>
      </c>
      <c r="D29" s="37">
        <v>150</v>
      </c>
      <c r="E29" s="42">
        <f>SUM(D28:D29)</f>
        <v>1500</v>
      </c>
    </row>
    <row r="30" spans="2:5" ht="15">
      <c r="B30" s="205">
        <v>9</v>
      </c>
      <c r="C30" s="32" t="s">
        <v>146</v>
      </c>
      <c r="D30" s="39">
        <v>1350</v>
      </c>
      <c r="E30" s="40"/>
    </row>
    <row r="31" spans="2:5" ht="15">
      <c r="B31" s="206"/>
      <c r="C31" s="22" t="s">
        <v>145</v>
      </c>
      <c r="D31" s="37">
        <v>500</v>
      </c>
      <c r="E31" s="42">
        <f>SUM(D30:D31)</f>
        <v>1850</v>
      </c>
    </row>
    <row r="32" spans="2:5" ht="15">
      <c r="B32" s="205">
        <v>10</v>
      </c>
      <c r="C32" s="32" t="s">
        <v>147</v>
      </c>
      <c r="D32" s="39">
        <v>300</v>
      </c>
      <c r="E32" s="40"/>
    </row>
    <row r="33" spans="2:5" ht="15">
      <c r="B33" s="206"/>
      <c r="C33" s="32" t="s">
        <v>148</v>
      </c>
      <c r="D33" s="39">
        <v>1900</v>
      </c>
      <c r="E33" s="42">
        <f>SUM(D32:D33)</f>
        <v>2200</v>
      </c>
    </row>
    <row r="34" spans="2:5" ht="15">
      <c r="B34" s="205">
        <v>11</v>
      </c>
      <c r="C34" s="32" t="s">
        <v>147</v>
      </c>
      <c r="D34" s="39">
        <v>300</v>
      </c>
      <c r="E34" s="40"/>
    </row>
    <row r="35" spans="2:5" ht="15">
      <c r="B35" s="206"/>
      <c r="C35" s="22" t="s">
        <v>141</v>
      </c>
      <c r="D35" s="37">
        <v>150</v>
      </c>
      <c r="E35" s="42">
        <f>SUM(D34:D35)</f>
        <v>450</v>
      </c>
    </row>
    <row r="36" spans="2:5" ht="15">
      <c r="B36" s="74">
        <v>12</v>
      </c>
      <c r="C36" s="22" t="s">
        <v>145</v>
      </c>
      <c r="D36" s="37">
        <v>500</v>
      </c>
      <c r="E36" s="38">
        <v>500</v>
      </c>
    </row>
    <row r="37" spans="2:5" ht="15">
      <c r="B37" s="205">
        <v>13</v>
      </c>
      <c r="C37" s="32" t="s">
        <v>149</v>
      </c>
      <c r="D37" s="39">
        <v>350</v>
      </c>
      <c r="E37" s="40"/>
    </row>
    <row r="38" spans="2:5" ht="15">
      <c r="B38" s="206"/>
      <c r="C38" s="22" t="s">
        <v>141</v>
      </c>
      <c r="D38" s="37">
        <v>150</v>
      </c>
      <c r="E38" s="42">
        <f>SUM(D37:D38)</f>
        <v>500</v>
      </c>
    </row>
    <row r="39" spans="2:5" ht="15">
      <c r="B39" s="205">
        <v>14</v>
      </c>
      <c r="C39" s="32" t="s">
        <v>149</v>
      </c>
      <c r="D39" s="39">
        <v>350</v>
      </c>
      <c r="E39" s="40"/>
    </row>
    <row r="40" spans="2:5" ht="15">
      <c r="B40" s="206"/>
      <c r="C40" s="22" t="s">
        <v>141</v>
      </c>
      <c r="D40" s="37">
        <v>150</v>
      </c>
      <c r="E40" s="42">
        <f>SUM(D39:D40)</f>
        <v>500</v>
      </c>
    </row>
    <row r="41" spans="2:5" ht="15">
      <c r="B41" s="205">
        <v>15</v>
      </c>
      <c r="C41" s="22" t="s">
        <v>145</v>
      </c>
      <c r="D41" s="37">
        <v>500</v>
      </c>
      <c r="E41" s="40"/>
    </row>
    <row r="42" spans="2:5" ht="15">
      <c r="B42" s="206"/>
      <c r="C42" s="32" t="s">
        <v>148</v>
      </c>
      <c r="D42" s="39">
        <v>1750</v>
      </c>
      <c r="E42" s="42">
        <f>SUM(D41:D42)</f>
        <v>2250</v>
      </c>
    </row>
    <row r="43" spans="2:5" ht="15">
      <c r="B43" s="75">
        <v>16</v>
      </c>
      <c r="C43" s="22" t="s">
        <v>150</v>
      </c>
      <c r="D43" s="37">
        <v>1500</v>
      </c>
      <c r="E43" s="40">
        <v>1500</v>
      </c>
    </row>
    <row r="44" spans="2:5" ht="15">
      <c r="B44" s="205">
        <v>17</v>
      </c>
      <c r="C44" s="32" t="s">
        <v>149</v>
      </c>
      <c r="D44" s="39">
        <v>350</v>
      </c>
      <c r="E44" s="40"/>
    </row>
    <row r="45" spans="2:5" ht="15">
      <c r="B45" s="206"/>
      <c r="C45" s="22" t="s">
        <v>141</v>
      </c>
      <c r="D45" s="37">
        <v>150</v>
      </c>
      <c r="E45" s="42">
        <f>SUM(D44:D45)</f>
        <v>500</v>
      </c>
    </row>
    <row r="46" spans="2:5" ht="15">
      <c r="B46" s="205">
        <v>18</v>
      </c>
      <c r="C46" s="32" t="s">
        <v>147</v>
      </c>
      <c r="D46" s="39">
        <v>300</v>
      </c>
      <c r="E46" s="40"/>
    </row>
    <row r="47" spans="2:5" ht="15">
      <c r="B47" s="206"/>
      <c r="C47" s="22" t="s">
        <v>151</v>
      </c>
      <c r="D47" s="37">
        <v>1850</v>
      </c>
      <c r="E47" s="42">
        <f>SUM(D46:D47)</f>
        <v>2150</v>
      </c>
    </row>
    <row r="48" spans="2:5" ht="15">
      <c r="B48" s="205">
        <v>19</v>
      </c>
      <c r="C48" s="32" t="s">
        <v>147</v>
      </c>
      <c r="D48" s="39">
        <v>300</v>
      </c>
      <c r="E48" s="40"/>
    </row>
    <row r="49" spans="2:5" ht="15">
      <c r="B49" s="207"/>
      <c r="C49" s="32" t="s">
        <v>146</v>
      </c>
      <c r="D49" s="39">
        <v>1350</v>
      </c>
      <c r="E49" s="41"/>
    </row>
    <row r="50" spans="2:5" ht="15">
      <c r="B50" s="206"/>
      <c r="C50" s="22" t="s">
        <v>141</v>
      </c>
      <c r="D50" s="37">
        <v>150</v>
      </c>
      <c r="E50" s="42">
        <f>SUM(D48:D50)</f>
        <v>1800</v>
      </c>
    </row>
    <row r="51" spans="2:5" ht="15">
      <c r="B51" s="74">
        <v>20</v>
      </c>
      <c r="C51" s="23" t="s">
        <v>152</v>
      </c>
      <c r="D51" s="37">
        <v>2200</v>
      </c>
      <c r="E51" s="38">
        <v>2200</v>
      </c>
    </row>
    <row r="52" spans="2:5" ht="15">
      <c r="B52" s="145"/>
      <c r="C52" s="27"/>
      <c r="D52" s="144"/>
      <c r="E52" s="26"/>
    </row>
    <row r="53" spans="2:5" ht="15">
      <c r="B53" s="24"/>
      <c r="C53" s="27"/>
      <c r="D53" s="144">
        <f>SUM(D16:D51)</f>
        <v>21400</v>
      </c>
      <c r="E53" s="26">
        <f>SUM(E16:E51)</f>
        <v>21400</v>
      </c>
    </row>
    <row r="54" spans="2:5" ht="15">
      <c r="B54" s="28"/>
      <c r="C54" s="25"/>
      <c r="D54" s="16"/>
      <c r="E54" s="26"/>
    </row>
    <row r="55" spans="2:5" ht="15">
      <c r="B55" s="24"/>
      <c r="C55" s="27"/>
      <c r="D55" s="16"/>
      <c r="E55" s="26"/>
    </row>
    <row r="56" spans="2:5" ht="15">
      <c r="B56" s="24"/>
      <c r="C56" s="25"/>
      <c r="D56" s="16"/>
      <c r="E56" s="26"/>
    </row>
  </sheetData>
  <sheetProtection/>
  <mergeCells count="15">
    <mergeCell ref="B1:E1"/>
    <mergeCell ref="B3:E3"/>
    <mergeCell ref="B32:B33"/>
    <mergeCell ref="B18:B20"/>
    <mergeCell ref="B22:B25"/>
    <mergeCell ref="B28:B29"/>
    <mergeCell ref="B30:B31"/>
    <mergeCell ref="B5:E13"/>
    <mergeCell ref="B44:B45"/>
    <mergeCell ref="B46:B47"/>
    <mergeCell ref="B48:B50"/>
    <mergeCell ref="B34:B35"/>
    <mergeCell ref="B37:B38"/>
    <mergeCell ref="B39:B40"/>
    <mergeCell ref="B41:B42"/>
  </mergeCells>
  <printOptions horizontalCentered="1"/>
  <pageMargins left="0.75" right="0.75" top="1" bottom="1" header="0.5" footer="0.5"/>
  <pageSetup horizontalDpi="600" verticalDpi="600" orientation="portrait" scale="79" r:id="rId1"/>
  <headerFooter alignWithMargins="0">
    <oddHeader>&amp;CModel User Charge Methodology</oddHeader>
    <oddFooter>&amp;CB-&amp;P</oddFooter>
  </headerFooter>
</worksheet>
</file>

<file path=xl/worksheets/sheet4.xml><?xml version="1.0" encoding="utf-8"?>
<worksheet xmlns="http://schemas.openxmlformats.org/spreadsheetml/2006/main" xmlns:r="http://schemas.openxmlformats.org/officeDocument/2006/relationships">
  <dimension ref="A1:L48"/>
  <sheetViews>
    <sheetView zoomScalePageLayoutView="0" workbookViewId="0" topLeftCell="A1">
      <selection activeCell="A5" sqref="A5:L5"/>
    </sheetView>
  </sheetViews>
  <sheetFormatPr defaultColWidth="9.140625" defaultRowHeight="12.75"/>
  <cols>
    <col min="1" max="1" width="6.7109375" style="0" customWidth="1"/>
    <col min="2" max="2" width="14.421875" style="0" customWidth="1"/>
    <col min="3" max="3" width="2.7109375" style="0" customWidth="1"/>
    <col min="4" max="4" width="17.28125" style="0" customWidth="1"/>
    <col min="5" max="5" width="2.8515625" style="0" customWidth="1"/>
    <col min="6" max="6" width="12.00390625" style="0" customWidth="1"/>
    <col min="7" max="7" width="2.8515625" style="0" customWidth="1"/>
    <col min="8" max="8" width="13.00390625" style="0" customWidth="1"/>
    <col min="9" max="9" width="4.140625" style="0" customWidth="1"/>
    <col min="10" max="10" width="17.57421875" style="0" customWidth="1"/>
    <col min="11" max="11" width="15.140625" style="0" customWidth="1"/>
    <col min="12" max="12" width="17.57421875" style="0" customWidth="1"/>
  </cols>
  <sheetData>
    <row r="1" ht="15">
      <c r="A1" s="1" t="s">
        <v>114</v>
      </c>
    </row>
    <row r="3" ht="15.75">
      <c r="A3" s="2" t="s">
        <v>90</v>
      </c>
    </row>
    <row r="4" ht="15.75">
      <c r="A4" s="2" t="s">
        <v>91</v>
      </c>
    </row>
    <row r="5" spans="1:12" ht="15.75">
      <c r="A5" s="195" t="s">
        <v>161</v>
      </c>
      <c r="B5" s="210"/>
      <c r="C5" s="210"/>
      <c r="D5" s="210"/>
      <c r="E5" s="210"/>
      <c r="F5" s="210"/>
      <c r="G5" s="210"/>
      <c r="H5" s="210"/>
      <c r="I5" s="210"/>
      <c r="J5" s="210"/>
      <c r="K5" s="210"/>
      <c r="L5" s="210"/>
    </row>
    <row r="6" spans="1:12" ht="15.75">
      <c r="A6" s="142"/>
      <c r="B6" s="143"/>
      <c r="C6" s="143"/>
      <c r="D6" s="143"/>
      <c r="E6" s="143"/>
      <c r="F6" s="143"/>
      <c r="G6" s="143"/>
      <c r="H6" s="143"/>
      <c r="I6" s="143"/>
      <c r="J6" s="143"/>
      <c r="K6" s="143"/>
      <c r="L6" s="143"/>
    </row>
    <row r="7" spans="1:12" ht="15.75">
      <c r="A7" s="217" t="s">
        <v>160</v>
      </c>
      <c r="B7" s="218"/>
      <c r="C7" s="218"/>
      <c r="D7" s="218"/>
      <c r="E7" s="218"/>
      <c r="F7" s="218"/>
      <c r="G7" s="218"/>
      <c r="H7" s="218"/>
      <c r="I7" s="218"/>
      <c r="J7" s="218"/>
      <c r="K7" s="218"/>
      <c r="L7" s="218"/>
    </row>
    <row r="8" spans="1:12" ht="15.75">
      <c r="A8" s="142"/>
      <c r="B8" s="143"/>
      <c r="C8" s="143"/>
      <c r="D8" s="143"/>
      <c r="E8" s="143"/>
      <c r="F8" s="143"/>
      <c r="G8" s="143"/>
      <c r="H8" s="143"/>
      <c r="I8" s="143"/>
      <c r="J8" s="143"/>
      <c r="K8" s="143"/>
      <c r="L8" s="143"/>
    </row>
    <row r="9" spans="1:12" ht="15">
      <c r="A9" s="43" t="s">
        <v>166</v>
      </c>
      <c r="B9" s="43"/>
      <c r="C9" s="143"/>
      <c r="D9" s="43"/>
      <c r="E9" s="143"/>
      <c r="F9" s="143"/>
      <c r="G9" s="143"/>
      <c r="H9" s="143"/>
      <c r="I9" s="143"/>
      <c r="J9" s="143"/>
      <c r="K9" s="143"/>
      <c r="L9" s="143"/>
    </row>
    <row r="10" spans="1:12" ht="15.75">
      <c r="A10" s="142"/>
      <c r="B10" s="143"/>
      <c r="C10" s="143"/>
      <c r="D10" s="143"/>
      <c r="E10" s="143"/>
      <c r="F10" s="143"/>
      <c r="G10" s="143"/>
      <c r="H10" s="143"/>
      <c r="I10" s="143"/>
      <c r="J10" s="143"/>
      <c r="K10" s="143"/>
      <c r="L10" s="143"/>
    </row>
    <row r="11" spans="1:12" ht="15.75">
      <c r="A11" s="142"/>
      <c r="B11" s="143"/>
      <c r="C11" s="143"/>
      <c r="D11" s="143"/>
      <c r="E11" s="143"/>
      <c r="F11" s="143"/>
      <c r="G11" s="143"/>
      <c r="H11" s="143"/>
      <c r="I11" s="143"/>
      <c r="J11" s="143"/>
      <c r="K11" s="143"/>
      <c r="L11" s="143"/>
    </row>
    <row r="12" spans="1:12" ht="15.75">
      <c r="A12" s="43"/>
      <c r="B12" s="43"/>
      <c r="C12" s="43"/>
      <c r="D12" s="3"/>
      <c r="E12" s="33"/>
      <c r="F12" s="33"/>
      <c r="G12" s="33"/>
      <c r="H12" s="33"/>
      <c r="I12" s="33"/>
      <c r="J12" s="33"/>
      <c r="K12" s="33"/>
      <c r="L12" s="33"/>
    </row>
    <row r="13" spans="1:12" ht="15.75">
      <c r="A13" s="43"/>
      <c r="B13" s="4" t="s">
        <v>92</v>
      </c>
      <c r="C13" s="43"/>
      <c r="D13" s="5">
        <v>0.03</v>
      </c>
      <c r="E13" s="33"/>
      <c r="F13" s="33"/>
      <c r="G13" s="33"/>
      <c r="H13" s="33"/>
      <c r="I13" s="33"/>
      <c r="J13" s="33"/>
      <c r="K13" s="33"/>
      <c r="L13" s="33"/>
    </row>
    <row r="14" spans="1:12" ht="15.75">
      <c r="A14" s="43"/>
      <c r="B14" s="4" t="s">
        <v>93</v>
      </c>
      <c r="C14" s="43"/>
      <c r="D14" s="6">
        <v>0.06</v>
      </c>
      <c r="E14" s="33"/>
      <c r="F14" s="33"/>
      <c r="G14" s="33"/>
      <c r="H14" s="33"/>
      <c r="I14" s="33"/>
      <c r="J14" s="33"/>
      <c r="K14" s="33"/>
      <c r="L14" s="33"/>
    </row>
    <row r="15" spans="1:12" ht="15.75">
      <c r="A15" s="43"/>
      <c r="B15" s="13" t="s">
        <v>94</v>
      </c>
      <c r="C15" s="44"/>
      <c r="D15" s="14">
        <v>0</v>
      </c>
      <c r="E15" s="33"/>
      <c r="F15" s="33"/>
      <c r="G15" s="33"/>
      <c r="H15" s="33"/>
      <c r="I15" s="33"/>
      <c r="J15" s="33"/>
      <c r="K15" s="33"/>
      <c r="L15" s="33"/>
    </row>
    <row r="16" spans="1:12" ht="15.75">
      <c r="A16" s="43"/>
      <c r="B16" s="43"/>
      <c r="C16" s="43"/>
      <c r="D16" s="2"/>
      <c r="E16" s="33"/>
      <c r="F16" s="33"/>
      <c r="G16" s="33"/>
      <c r="H16" s="45"/>
      <c r="I16" s="33"/>
      <c r="J16" s="33"/>
      <c r="K16" s="33"/>
      <c r="L16" s="33"/>
    </row>
    <row r="17" spans="1:12" ht="15.75">
      <c r="A17" s="43"/>
      <c r="B17" s="43"/>
      <c r="C17" s="43"/>
      <c r="D17" s="7">
        <f>D13</f>
        <v>0.03</v>
      </c>
      <c r="E17" s="43"/>
      <c r="F17" s="43"/>
      <c r="G17" s="43"/>
      <c r="H17" s="8">
        <f>D14</f>
        <v>0.06</v>
      </c>
      <c r="I17" s="43"/>
      <c r="J17" s="43"/>
      <c r="K17" s="9"/>
      <c r="L17" s="33"/>
    </row>
    <row r="18" spans="1:12" ht="15.75">
      <c r="A18" s="2"/>
      <c r="B18" s="9" t="s">
        <v>95</v>
      </c>
      <c r="C18" s="2"/>
      <c r="D18" s="9" t="s">
        <v>96</v>
      </c>
      <c r="E18" s="2"/>
      <c r="F18" s="43"/>
      <c r="G18" s="2"/>
      <c r="H18" s="9" t="s">
        <v>97</v>
      </c>
      <c r="I18" s="2"/>
      <c r="J18" s="9" t="s">
        <v>98</v>
      </c>
      <c r="K18" s="9" t="s">
        <v>99</v>
      </c>
      <c r="L18" s="9" t="s">
        <v>100</v>
      </c>
    </row>
    <row r="19" spans="1:12" ht="15.75">
      <c r="A19" s="2"/>
      <c r="B19" s="9" t="s">
        <v>101</v>
      </c>
      <c r="C19" s="9" t="s">
        <v>15</v>
      </c>
      <c r="D19" s="9" t="s">
        <v>102</v>
      </c>
      <c r="E19" s="9" t="s">
        <v>14</v>
      </c>
      <c r="F19" s="9" t="s">
        <v>103</v>
      </c>
      <c r="G19" s="9" t="s">
        <v>15</v>
      </c>
      <c r="H19" s="9" t="s">
        <v>104</v>
      </c>
      <c r="I19" s="9" t="s">
        <v>14</v>
      </c>
      <c r="J19" s="9" t="s">
        <v>97</v>
      </c>
      <c r="K19" s="9" t="s">
        <v>105</v>
      </c>
      <c r="L19" s="9" t="s">
        <v>105</v>
      </c>
    </row>
    <row r="20" spans="1:12" ht="15.75">
      <c r="A20" s="10" t="s">
        <v>106</v>
      </c>
      <c r="B20" s="10" t="s">
        <v>107</v>
      </c>
      <c r="C20" s="2"/>
      <c r="D20" s="10" t="s">
        <v>108</v>
      </c>
      <c r="E20" s="2"/>
      <c r="F20" s="10" t="s">
        <v>104</v>
      </c>
      <c r="G20" s="2"/>
      <c r="H20" s="10" t="s">
        <v>109</v>
      </c>
      <c r="I20" s="2"/>
      <c r="J20" s="10" t="s">
        <v>104</v>
      </c>
      <c r="K20" s="10" t="s">
        <v>110</v>
      </c>
      <c r="L20" s="10" t="s">
        <v>110</v>
      </c>
    </row>
    <row r="21" spans="1:12" ht="15.75">
      <c r="A21" s="10"/>
      <c r="B21" s="10"/>
      <c r="C21" s="2"/>
      <c r="D21" s="10"/>
      <c r="E21" s="2"/>
      <c r="F21" s="10"/>
      <c r="G21" s="2"/>
      <c r="H21" s="10"/>
      <c r="I21" s="2"/>
      <c r="J21" s="10"/>
      <c r="K21" s="10"/>
      <c r="L21" s="10"/>
    </row>
    <row r="22" spans="1:12" ht="15.75">
      <c r="A22" s="10"/>
      <c r="B22" s="46" t="s">
        <v>94</v>
      </c>
      <c r="C22" s="2"/>
      <c r="D22" s="10"/>
      <c r="E22" s="2"/>
      <c r="F22" s="10"/>
      <c r="G22" s="2"/>
      <c r="H22" s="10"/>
      <c r="I22" s="2"/>
      <c r="J22" s="11"/>
      <c r="K22" s="10"/>
      <c r="L22" s="47">
        <f>D15</f>
        <v>0</v>
      </c>
    </row>
    <row r="23" spans="1:12" ht="15">
      <c r="A23" s="43">
        <v>1</v>
      </c>
      <c r="B23" s="48">
        <v>150</v>
      </c>
      <c r="C23" s="43"/>
      <c r="D23" s="49">
        <f>(1+$D$13)^A23</f>
        <v>1.03</v>
      </c>
      <c r="E23" s="43"/>
      <c r="F23" s="50">
        <f aca="true" t="shared" si="0" ref="F23:F30">B23*D23</f>
        <v>154.5</v>
      </c>
      <c r="G23" s="43"/>
      <c r="H23" s="49">
        <f>1/(1+$D$14)^A23</f>
        <v>0.9433962264150942</v>
      </c>
      <c r="I23" s="43"/>
      <c r="J23" s="50">
        <f>ROUND(+F23*H23,2)</f>
        <v>145.75</v>
      </c>
      <c r="K23" s="51">
        <f>ROUND(+L22*$D$14,2)</f>
        <v>0</v>
      </c>
      <c r="L23" s="50">
        <f aca="true" t="shared" si="1" ref="L23:L42">ROUND(+L22+K23+$J$47-F23,2)</f>
        <v>1151.9</v>
      </c>
    </row>
    <row r="24" spans="1:12" ht="15">
      <c r="A24" s="43">
        <f aca="true" t="shared" si="2" ref="A24:A42">A23+1</f>
        <v>2</v>
      </c>
      <c r="B24" s="48">
        <v>150</v>
      </c>
      <c r="C24" s="43"/>
      <c r="D24" s="49">
        <f aca="true" t="shared" si="3" ref="D24:D42">(1+$D$13)^A24</f>
        <v>1.0609</v>
      </c>
      <c r="E24" s="43"/>
      <c r="F24" s="51">
        <f t="shared" si="0"/>
        <v>159.135</v>
      </c>
      <c r="G24" s="43"/>
      <c r="H24" s="49">
        <f aca="true" t="shared" si="4" ref="H24:H42">1/(1+$D$14)^A24</f>
        <v>0.8899964400142398</v>
      </c>
      <c r="I24" s="43"/>
      <c r="J24" s="50">
        <f aca="true" t="shared" si="5" ref="J24:J42">ROUND(+F24*H24,2)</f>
        <v>141.63</v>
      </c>
      <c r="K24" s="51">
        <f>ROUND(+L23*$D$14,2)</f>
        <v>69.11</v>
      </c>
      <c r="L24" s="50">
        <f t="shared" si="1"/>
        <v>2368.28</v>
      </c>
    </row>
    <row r="25" spans="1:12" ht="15">
      <c r="A25" s="43">
        <f t="shared" si="2"/>
        <v>3</v>
      </c>
      <c r="B25" s="48">
        <v>500</v>
      </c>
      <c r="C25" s="43"/>
      <c r="D25" s="49">
        <f t="shared" si="3"/>
        <v>1.092727</v>
      </c>
      <c r="E25" s="43"/>
      <c r="F25" s="51">
        <f t="shared" si="0"/>
        <v>546.3635</v>
      </c>
      <c r="G25" s="43"/>
      <c r="H25" s="49">
        <f t="shared" si="4"/>
        <v>0.8396192830323016</v>
      </c>
      <c r="I25" s="43"/>
      <c r="J25" s="50">
        <f t="shared" si="5"/>
        <v>458.74</v>
      </c>
      <c r="K25" s="51">
        <f aca="true" t="shared" si="6" ref="K25:K42">ROUND(+L24*$D$14,2)</f>
        <v>142.1</v>
      </c>
      <c r="L25" s="50">
        <f t="shared" si="1"/>
        <v>3270.42</v>
      </c>
    </row>
    <row r="26" spans="1:12" ht="15">
      <c r="A26" s="43">
        <f t="shared" si="2"/>
        <v>4</v>
      </c>
      <c r="B26" s="48">
        <v>150</v>
      </c>
      <c r="C26" s="43"/>
      <c r="D26" s="49">
        <f t="shared" si="3"/>
        <v>1.12550881</v>
      </c>
      <c r="E26" s="43"/>
      <c r="F26" s="51">
        <f t="shared" si="0"/>
        <v>168.82632149999998</v>
      </c>
      <c r="G26" s="43"/>
      <c r="H26" s="49">
        <f t="shared" si="4"/>
        <v>0.7920936632380204</v>
      </c>
      <c r="I26" s="43"/>
      <c r="J26" s="50">
        <f t="shared" si="5"/>
        <v>133.73</v>
      </c>
      <c r="K26" s="51">
        <f t="shared" si="6"/>
        <v>196.23</v>
      </c>
      <c r="L26" s="50">
        <f t="shared" si="1"/>
        <v>4604.22</v>
      </c>
    </row>
    <row r="27" spans="1:12" ht="15">
      <c r="A27" s="43">
        <f t="shared" si="2"/>
        <v>5</v>
      </c>
      <c r="B27" s="48">
        <v>1900</v>
      </c>
      <c r="C27" s="43"/>
      <c r="D27" s="49">
        <f t="shared" si="3"/>
        <v>1.1592740742999998</v>
      </c>
      <c r="E27" s="43"/>
      <c r="F27" s="51">
        <f t="shared" si="0"/>
        <v>2202.6207411699997</v>
      </c>
      <c r="G27" s="43"/>
      <c r="H27" s="49">
        <f t="shared" si="4"/>
        <v>0.7472581728660569</v>
      </c>
      <c r="I27" s="43"/>
      <c r="J27" s="50">
        <f t="shared" si="5"/>
        <v>1645.93</v>
      </c>
      <c r="K27" s="51">
        <f t="shared" si="6"/>
        <v>276.25</v>
      </c>
      <c r="L27" s="50">
        <f t="shared" si="1"/>
        <v>3984.25</v>
      </c>
    </row>
    <row r="28" spans="1:12" ht="15">
      <c r="A28" s="43">
        <f t="shared" si="2"/>
        <v>6</v>
      </c>
      <c r="B28" s="48">
        <v>500</v>
      </c>
      <c r="C28" s="43"/>
      <c r="D28" s="49">
        <f t="shared" si="3"/>
        <v>1.194052296529</v>
      </c>
      <c r="E28" s="43"/>
      <c r="F28" s="51">
        <f t="shared" si="0"/>
        <v>597.0261482645</v>
      </c>
      <c r="G28" s="43"/>
      <c r="H28" s="49">
        <f t="shared" si="4"/>
        <v>0.7049605404396763</v>
      </c>
      <c r="I28" s="43"/>
      <c r="J28" s="50">
        <f t="shared" si="5"/>
        <v>420.88</v>
      </c>
      <c r="K28" s="51">
        <f t="shared" si="6"/>
        <v>239.06</v>
      </c>
      <c r="L28" s="50">
        <f t="shared" si="1"/>
        <v>4932.68</v>
      </c>
    </row>
    <row r="29" spans="1:12" ht="15">
      <c r="A29" s="43">
        <f t="shared" si="2"/>
        <v>7</v>
      </c>
      <c r="B29" s="48">
        <v>150</v>
      </c>
      <c r="C29" s="43"/>
      <c r="D29" s="49">
        <f t="shared" si="3"/>
        <v>1.22987386542487</v>
      </c>
      <c r="E29" s="43"/>
      <c r="F29" s="51">
        <f t="shared" si="0"/>
        <v>184.4810798137305</v>
      </c>
      <c r="G29" s="43"/>
      <c r="H29" s="49">
        <f t="shared" si="4"/>
        <v>0.665057113622336</v>
      </c>
      <c r="I29" s="43"/>
      <c r="J29" s="50">
        <f t="shared" si="5"/>
        <v>122.69</v>
      </c>
      <c r="K29" s="51">
        <f t="shared" si="6"/>
        <v>295.96</v>
      </c>
      <c r="L29" s="50">
        <f t="shared" si="1"/>
        <v>6350.56</v>
      </c>
    </row>
    <row r="30" spans="1:12" ht="15">
      <c r="A30" s="43">
        <f t="shared" si="2"/>
        <v>8</v>
      </c>
      <c r="B30" s="48">
        <v>1500</v>
      </c>
      <c r="C30" s="43"/>
      <c r="D30" s="49">
        <f t="shared" si="3"/>
        <v>1.266770081387616</v>
      </c>
      <c r="E30" s="43"/>
      <c r="F30" s="51">
        <f t="shared" si="0"/>
        <v>1900.155122081424</v>
      </c>
      <c r="G30" s="43"/>
      <c r="H30" s="49">
        <f t="shared" si="4"/>
        <v>0.6274123713418265</v>
      </c>
      <c r="I30" s="43"/>
      <c r="J30" s="50">
        <f t="shared" si="5"/>
        <v>1192.18</v>
      </c>
      <c r="K30" s="51">
        <f t="shared" si="6"/>
        <v>381.03</v>
      </c>
      <c r="L30" s="50">
        <f t="shared" si="1"/>
        <v>6137.83</v>
      </c>
    </row>
    <row r="31" spans="1:12" ht="15">
      <c r="A31" s="43">
        <f t="shared" si="2"/>
        <v>9</v>
      </c>
      <c r="B31" s="48">
        <v>1850</v>
      </c>
      <c r="C31" s="43"/>
      <c r="D31" s="49">
        <f t="shared" si="3"/>
        <v>1.3047731838292445</v>
      </c>
      <c r="E31" s="43"/>
      <c r="F31" s="51">
        <f>B31*D31</f>
        <v>2413.8303900841024</v>
      </c>
      <c r="G31" s="43"/>
      <c r="H31" s="49">
        <f t="shared" si="4"/>
        <v>0.591898463530025</v>
      </c>
      <c r="I31" s="43"/>
      <c r="J31" s="50">
        <f t="shared" si="5"/>
        <v>1428.74</v>
      </c>
      <c r="K31" s="51">
        <f t="shared" si="6"/>
        <v>368.27</v>
      </c>
      <c r="L31" s="50">
        <f t="shared" si="1"/>
        <v>5398.67</v>
      </c>
    </row>
    <row r="32" spans="1:12" ht="15">
      <c r="A32" s="43">
        <f t="shared" si="2"/>
        <v>10</v>
      </c>
      <c r="B32" s="48">
        <v>2200</v>
      </c>
      <c r="C32" s="43"/>
      <c r="D32" s="49">
        <f t="shared" si="3"/>
        <v>1.3439163793441218</v>
      </c>
      <c r="E32" s="43"/>
      <c r="F32" s="51">
        <f aca="true" t="shared" si="7" ref="F32:F42">B32*D32</f>
        <v>2956.616034557068</v>
      </c>
      <c r="G32" s="43"/>
      <c r="H32" s="49">
        <f t="shared" si="4"/>
        <v>0.5583947769151179</v>
      </c>
      <c r="I32" s="43"/>
      <c r="J32" s="50">
        <f t="shared" si="5"/>
        <v>1650.96</v>
      </c>
      <c r="K32" s="51">
        <f t="shared" si="6"/>
        <v>323.92</v>
      </c>
      <c r="L32" s="50">
        <f t="shared" si="1"/>
        <v>4072.37</v>
      </c>
    </row>
    <row r="33" spans="1:12" ht="15">
      <c r="A33" s="43">
        <f t="shared" si="2"/>
        <v>11</v>
      </c>
      <c r="B33" s="48">
        <v>450</v>
      </c>
      <c r="C33" s="43"/>
      <c r="D33" s="49">
        <f t="shared" si="3"/>
        <v>1.3842338707244455</v>
      </c>
      <c r="E33" s="43"/>
      <c r="F33" s="51">
        <f t="shared" si="7"/>
        <v>622.9052418260005</v>
      </c>
      <c r="G33" s="43"/>
      <c r="H33" s="49">
        <f t="shared" si="4"/>
        <v>0.5267875253916205</v>
      </c>
      <c r="I33" s="43"/>
      <c r="J33" s="50">
        <f t="shared" si="5"/>
        <v>328.14</v>
      </c>
      <c r="K33" s="51">
        <f t="shared" si="6"/>
        <v>244.34</v>
      </c>
      <c r="L33" s="50">
        <f t="shared" si="1"/>
        <v>5000.2</v>
      </c>
    </row>
    <row r="34" spans="1:12" ht="15">
      <c r="A34" s="43">
        <f t="shared" si="2"/>
        <v>12</v>
      </c>
      <c r="B34" s="48">
        <v>500</v>
      </c>
      <c r="C34" s="43"/>
      <c r="D34" s="49">
        <f t="shared" si="3"/>
        <v>1.4257608868461786</v>
      </c>
      <c r="E34" s="43"/>
      <c r="F34" s="51">
        <f t="shared" si="7"/>
        <v>712.8804434230893</v>
      </c>
      <c r="G34" s="43"/>
      <c r="H34" s="49">
        <f t="shared" si="4"/>
        <v>0.4969693635770005</v>
      </c>
      <c r="I34" s="43"/>
      <c r="J34" s="50">
        <f t="shared" si="5"/>
        <v>354.28</v>
      </c>
      <c r="K34" s="51">
        <f t="shared" si="6"/>
        <v>300.01</v>
      </c>
      <c r="L34" s="50">
        <f t="shared" si="1"/>
        <v>5893.73</v>
      </c>
    </row>
    <row r="35" spans="1:12" ht="15">
      <c r="A35" s="43">
        <f t="shared" si="2"/>
        <v>13</v>
      </c>
      <c r="B35" s="48">
        <v>500</v>
      </c>
      <c r="C35" s="43"/>
      <c r="D35" s="49">
        <f t="shared" si="3"/>
        <v>1.468533713451564</v>
      </c>
      <c r="E35" s="43"/>
      <c r="F35" s="51">
        <f t="shared" si="7"/>
        <v>734.266856725782</v>
      </c>
      <c r="G35" s="43"/>
      <c r="H35" s="49">
        <f t="shared" si="4"/>
        <v>0.4688390222424533</v>
      </c>
      <c r="I35" s="43"/>
      <c r="J35" s="50">
        <f t="shared" si="5"/>
        <v>344.25</v>
      </c>
      <c r="K35" s="51">
        <f t="shared" si="6"/>
        <v>353.62</v>
      </c>
      <c r="L35" s="50">
        <f t="shared" si="1"/>
        <v>6819.48</v>
      </c>
    </row>
    <row r="36" spans="1:12" ht="15">
      <c r="A36" s="43">
        <f t="shared" si="2"/>
        <v>14</v>
      </c>
      <c r="B36" s="48">
        <v>500</v>
      </c>
      <c r="C36" s="43"/>
      <c r="D36" s="49">
        <f t="shared" si="3"/>
        <v>1.512589724855111</v>
      </c>
      <c r="E36" s="43"/>
      <c r="F36" s="51">
        <f t="shared" si="7"/>
        <v>756.2948624275555</v>
      </c>
      <c r="G36" s="43"/>
      <c r="H36" s="49">
        <f t="shared" si="4"/>
        <v>0.4423009643796729</v>
      </c>
      <c r="I36" s="43"/>
      <c r="J36" s="50">
        <f t="shared" si="5"/>
        <v>334.51</v>
      </c>
      <c r="K36" s="51">
        <f t="shared" si="6"/>
        <v>409.17</v>
      </c>
      <c r="L36" s="50">
        <f t="shared" si="1"/>
        <v>7778.76</v>
      </c>
    </row>
    <row r="37" spans="1:12" ht="15">
      <c r="A37" s="43">
        <f t="shared" si="2"/>
        <v>15</v>
      </c>
      <c r="B37" s="48">
        <v>2250</v>
      </c>
      <c r="C37" s="43"/>
      <c r="D37" s="49">
        <f t="shared" si="3"/>
        <v>1.5579674166007644</v>
      </c>
      <c r="E37" s="43"/>
      <c r="F37" s="51">
        <f t="shared" si="7"/>
        <v>3505.42668735172</v>
      </c>
      <c r="G37" s="43"/>
      <c r="H37" s="49">
        <f t="shared" si="4"/>
        <v>0.41726506073554037</v>
      </c>
      <c r="I37" s="43"/>
      <c r="J37" s="50">
        <f t="shared" si="5"/>
        <v>1462.69</v>
      </c>
      <c r="K37" s="51">
        <f t="shared" si="6"/>
        <v>466.73</v>
      </c>
      <c r="L37" s="50">
        <f t="shared" si="1"/>
        <v>6046.46</v>
      </c>
    </row>
    <row r="38" spans="1:12" ht="15">
      <c r="A38" s="43">
        <f t="shared" si="2"/>
        <v>16</v>
      </c>
      <c r="B38" s="48">
        <v>1500</v>
      </c>
      <c r="C38" s="43"/>
      <c r="D38" s="49">
        <f t="shared" si="3"/>
        <v>1.604706439098787</v>
      </c>
      <c r="E38" s="43"/>
      <c r="F38" s="51">
        <f t="shared" si="7"/>
        <v>2407.0596586481806</v>
      </c>
      <c r="G38" s="43"/>
      <c r="H38" s="49">
        <f t="shared" si="4"/>
        <v>0.39364628371277405</v>
      </c>
      <c r="I38" s="43"/>
      <c r="J38" s="50">
        <f t="shared" si="5"/>
        <v>947.53</v>
      </c>
      <c r="K38" s="51">
        <f t="shared" si="6"/>
        <v>362.79</v>
      </c>
      <c r="L38" s="50">
        <f t="shared" si="1"/>
        <v>5308.59</v>
      </c>
    </row>
    <row r="39" spans="1:12" ht="15">
      <c r="A39" s="43">
        <f t="shared" si="2"/>
        <v>17</v>
      </c>
      <c r="B39" s="48">
        <v>500</v>
      </c>
      <c r="C39" s="43"/>
      <c r="D39" s="49">
        <f t="shared" si="3"/>
        <v>1.6528476322717507</v>
      </c>
      <c r="E39" s="43"/>
      <c r="F39" s="51">
        <f t="shared" si="7"/>
        <v>826.4238161358753</v>
      </c>
      <c r="G39" s="43"/>
      <c r="H39" s="49">
        <f t="shared" si="4"/>
        <v>0.37136441859695657</v>
      </c>
      <c r="I39" s="43"/>
      <c r="J39" s="50">
        <f t="shared" si="5"/>
        <v>306.9</v>
      </c>
      <c r="K39" s="51">
        <f t="shared" si="6"/>
        <v>318.52</v>
      </c>
      <c r="L39" s="50">
        <f t="shared" si="1"/>
        <v>6107.09</v>
      </c>
    </row>
    <row r="40" spans="1:12" ht="15">
      <c r="A40" s="43">
        <f t="shared" si="2"/>
        <v>18</v>
      </c>
      <c r="B40" s="48">
        <v>2150</v>
      </c>
      <c r="C40" s="43"/>
      <c r="D40" s="49">
        <f t="shared" si="3"/>
        <v>1.7024330612399032</v>
      </c>
      <c r="E40" s="43"/>
      <c r="F40" s="51">
        <f t="shared" si="7"/>
        <v>3660.231081665792</v>
      </c>
      <c r="G40" s="43"/>
      <c r="H40" s="49">
        <f t="shared" si="4"/>
        <v>0.35034379112920433</v>
      </c>
      <c r="I40" s="43"/>
      <c r="J40" s="50">
        <f t="shared" si="5"/>
        <v>1282.34</v>
      </c>
      <c r="K40" s="51">
        <f t="shared" si="6"/>
        <v>366.43</v>
      </c>
      <c r="L40" s="50">
        <f t="shared" si="1"/>
        <v>4119.69</v>
      </c>
    </row>
    <row r="41" spans="1:12" ht="15">
      <c r="A41" s="43">
        <f t="shared" si="2"/>
        <v>19</v>
      </c>
      <c r="B41" s="48">
        <v>1800</v>
      </c>
      <c r="C41" s="43"/>
      <c r="D41" s="49">
        <f t="shared" si="3"/>
        <v>1.7535060530771003</v>
      </c>
      <c r="E41" s="43"/>
      <c r="F41" s="51">
        <f t="shared" si="7"/>
        <v>3156.3108955387806</v>
      </c>
      <c r="G41" s="43"/>
      <c r="H41" s="49">
        <f t="shared" si="4"/>
        <v>0.3305130104992493</v>
      </c>
      <c r="I41" s="43"/>
      <c r="J41" s="50">
        <f t="shared" si="5"/>
        <v>1043.2</v>
      </c>
      <c r="K41" s="51">
        <f t="shared" si="6"/>
        <v>247.18</v>
      </c>
      <c r="L41" s="50">
        <f t="shared" si="1"/>
        <v>2516.96</v>
      </c>
    </row>
    <row r="42" spans="1:12" ht="15">
      <c r="A42" s="43">
        <f t="shared" si="2"/>
        <v>20</v>
      </c>
      <c r="B42" s="52">
        <v>2200</v>
      </c>
      <c r="C42" s="43"/>
      <c r="D42" s="49">
        <f t="shared" si="3"/>
        <v>1.8061112346694133</v>
      </c>
      <c r="E42" s="43"/>
      <c r="F42" s="51">
        <f t="shared" si="7"/>
        <v>3973.4447162727092</v>
      </c>
      <c r="G42" s="43"/>
      <c r="H42" s="49">
        <f t="shared" si="4"/>
        <v>0.3118047268860843</v>
      </c>
      <c r="I42" s="43"/>
      <c r="J42" s="50">
        <f t="shared" si="5"/>
        <v>1238.94</v>
      </c>
      <c r="K42" s="51">
        <f t="shared" si="6"/>
        <v>151.02</v>
      </c>
      <c r="L42" s="50">
        <f t="shared" si="1"/>
        <v>0.94</v>
      </c>
    </row>
    <row r="43" spans="1:12" ht="15.75">
      <c r="A43" s="43"/>
      <c r="B43" s="50">
        <f>SUM(B23:B42)</f>
        <v>21400</v>
      </c>
      <c r="C43" s="43"/>
      <c r="D43" s="43"/>
      <c r="E43" s="43"/>
      <c r="F43" s="43"/>
      <c r="G43" s="43"/>
      <c r="H43" s="43" t="s">
        <v>111</v>
      </c>
      <c r="I43" s="43"/>
      <c r="J43" s="53">
        <f>ROUND(SUM(J22:J42),0)</f>
        <v>14984</v>
      </c>
      <c r="K43" s="43"/>
      <c r="L43" s="3"/>
    </row>
    <row r="44" spans="1:12" ht="15">
      <c r="A44" s="43"/>
      <c r="B44" s="43"/>
      <c r="C44" s="43"/>
      <c r="D44" s="43"/>
      <c r="E44" s="43"/>
      <c r="F44" s="33" t="s">
        <v>153</v>
      </c>
      <c r="G44" s="33"/>
      <c r="H44" s="33"/>
      <c r="I44" s="33"/>
      <c r="J44" s="54">
        <f>-L22</f>
        <v>0</v>
      </c>
      <c r="K44" s="33"/>
      <c r="L44" s="33"/>
    </row>
    <row r="45" spans="1:12" ht="15">
      <c r="A45" s="43"/>
      <c r="B45" s="43"/>
      <c r="C45" s="43"/>
      <c r="D45" s="43"/>
      <c r="E45" s="43"/>
      <c r="F45" s="33"/>
      <c r="G45" s="33"/>
      <c r="H45" s="33"/>
      <c r="I45" s="33"/>
      <c r="J45" s="55">
        <f>SUM(J43:J44)</f>
        <v>14984</v>
      </c>
      <c r="K45" s="33"/>
      <c r="L45" s="33"/>
    </row>
    <row r="46" spans="1:12" ht="15.75">
      <c r="A46" s="43"/>
      <c r="B46" s="43"/>
      <c r="C46" s="43"/>
      <c r="D46" s="43"/>
      <c r="E46" s="2"/>
      <c r="F46" s="43" t="s">
        <v>112</v>
      </c>
      <c r="G46" s="43"/>
      <c r="H46" s="43"/>
      <c r="I46" s="56" t="s">
        <v>15</v>
      </c>
      <c r="J46" s="57">
        <f>1/(((1+$D$14)^A42-1)/($D$14*(1+$D$14)^A42))</f>
        <v>0.0871845569768514</v>
      </c>
      <c r="K46" s="33"/>
      <c r="L46" s="33"/>
    </row>
    <row r="47" spans="1:12" ht="16.5" thickBot="1">
      <c r="A47" s="33"/>
      <c r="B47" s="33"/>
      <c r="C47" s="33"/>
      <c r="D47" s="33"/>
      <c r="E47" s="33"/>
      <c r="F47" s="43" t="s">
        <v>113</v>
      </c>
      <c r="G47" s="43"/>
      <c r="H47" s="43"/>
      <c r="I47" s="43"/>
      <c r="J47" s="58">
        <f>ROUND(J45*J46,1)</f>
        <v>1306.4</v>
      </c>
      <c r="K47" s="33"/>
      <c r="L47" s="33"/>
    </row>
    <row r="48" ht="13.5" thickTop="1">
      <c r="J48" s="12"/>
    </row>
  </sheetData>
  <sheetProtection/>
  <mergeCells count="2">
    <mergeCell ref="A7:L7"/>
    <mergeCell ref="A5:L5"/>
  </mergeCells>
  <printOptions/>
  <pageMargins left="0.75" right="0.75" top="1" bottom="1" header="0.5" footer="0.5"/>
  <pageSetup horizontalDpi="600" verticalDpi="600" orientation="portrait" scale="72" r:id="rId1"/>
  <headerFooter alignWithMargins="0">
    <oddHeader>&amp;CModel User Charge Methodology</oddHeader>
    <oddFooter>&amp;CC-&amp;P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Missouri Department of Natural Resources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Garrett</dc:creator>
  <cp:keywords/>
  <dc:description/>
  <cp:lastModifiedBy>Jim Enterline</cp:lastModifiedBy>
  <cp:lastPrinted>2006-06-02T14:34:01Z</cp:lastPrinted>
  <dcterms:created xsi:type="dcterms:W3CDTF">2003-04-17T18:31:04Z</dcterms:created>
  <dcterms:modified xsi:type="dcterms:W3CDTF">2010-08-17T01:01:54Z</dcterms:modified>
  <cp:category/>
  <cp:version/>
  <cp:contentType/>
  <cp:contentStatus/>
</cp:coreProperties>
</file>